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<sst xmlns="http://schemas.openxmlformats.org/spreadsheetml/2006/main" count="204" uniqueCount="202">
  <si>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</si>
  <si>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</si>
  <si>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</si>
  <si>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</si>
  <si>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</si>
  <si>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</si>
  <si>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</si>
  <si>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</si>
  <si>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</si>
  <si>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</si>
  <si>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</si>
  <si>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</si>
  <si>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</si>
  <si>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</si>
  <si>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</si>
  <si>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</si>
  <si>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</si>
  <si>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</si>
  <si>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</si>
  <si>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</si>
  <si>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</si>
  <si>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</si>
  <si>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</si>
  <si>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</si>
  <si>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</si>
  <si>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</si>
  <si>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</si>
  <si>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</si>
  <si>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</si>
  <si>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</si>
  <si>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</si>
  <si>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</si>
  <si>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</si>
  <si>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</si>
  <si>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</si>
  <si>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</si>
  <si>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</si>
  <si>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</si>
  <si>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</si>
  <si>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</si>
  <si>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</si>
  <si>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</si>
  <si>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</si>
  <si>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</si>
  <si>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</si>
  <si>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</si>
  <si>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</si>
  <si>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</si>
  <si>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</si>
  <si>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</si>
  <si>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</si>
  <si>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</si>
  <si>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</si>
  <si>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</si>
  <si>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</si>
  <si>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</si>
  <si>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</si>
  <si>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</si>
  <si>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</si>
  <si>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</si>
  <si>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</si>
  <si>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</si>
  <si>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</si>
  <si>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</si>
  <si>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</si>
  <si>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</si>
  <si>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</si>
  <si>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</si>
  <si>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</si>
  <si>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</si>
  <si>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</si>
  <si>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</si>
  <si>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</si>
  <si>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</si>
  <si>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</si>
  <si>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</si>
  <si>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</si>
  <si>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</si>
  <si>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</si>
  <si>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</si>
  <si>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</si>
  <si>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</si>
  <si>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</si>
  <si>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</si>
  <si>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</si>
  <si>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</si>
  <si>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</si>
  <si>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</si>
  <si>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</si>
  <si>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</si>
  <si>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</si>
  <si>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</si>
  <si>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</si>
  <si>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</si>
  <si>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</si>
  <si>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</si>
  <si>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</si>
  <si>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</si>
  <si>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</si>
  <si>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</si>
  <si>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</si>
  <si>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</si>
  <si>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</si>
  <si>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</si>
  <si>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</si>
  <si>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</si>
  <si>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</si>
  <si>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</si>
  <si>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</si>
  <si>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</si>
  <si>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</si>
  <si>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</si>
  <si>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</si>
  <si>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</si>
  <si>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</si>
  <si>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</si>
  <si>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</si>
  <si>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</si>
  <si>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</si>
  <si>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</si>
  <si>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</si>
  <si>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</si>
  <si>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</si>
  <si>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</si>
  <si>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</si>
  <si>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</si>
  <si>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</si>
  <si>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</si>
  <si>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</si>
  <si>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</si>
  <si>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</si>
  <si>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</si>
  <si>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</si>
  <si>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</si>
  <si>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</si>
  <si>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</si>
  <si>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</si>
  <si>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</si>
  <si>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</si>
  <si>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</si>
  <si>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</si>
  <si>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</si>
  <si>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</si>
  <si>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</si>
  <si>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</si>
  <si>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</si>
  <si>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</si>
  <si>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</si>
  <si>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</si>
  <si>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</si>
  <si>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</si>
  <si>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</si>
  <si>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</si>
  <si>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</si>
  <si>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</si>
  <si>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</si>
  <si>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</si>
  <si>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</si>
  <si>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</si>
  <si>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</si>
  <si>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</si>
  <si>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</si>
  <si>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</si>
  <si>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</si>
  <si>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</si>
  <si>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</si>
  <si>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</si>
  <si>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</si>
  <si>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</si>
  <si>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</si>
  <si>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</si>
  <si>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</si>
  <si>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</si>
  <si>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</si>
  <si>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</si>
  <si>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</si>
  <si>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</si>
  <si>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</si>
  <si>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</si>
  <si>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</si>
  <si>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</si>
  <si>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</si>
  <si>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</si>
  <si>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</si>
  <si>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</si>
  <si>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</si>
  <si>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</si>
  <si>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</si>
  <si>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</si>
  <si>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</si>
  <si>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</si>
  <si>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</si>
  <si>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</si>
  <si>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</si>
  <si>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</si>
  <si>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</si>
  <si>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</si>
  <si>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</si>
  <si>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</si>
  <si>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Залишок призначень до плану 9 місяців</t>
  </si>
  <si>
    <t>Відсоток виконання до плану 9 місяців</t>
  </si>
  <si>
    <t>Профінансовано станом на 11.09.17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</si>
</sst>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36" fillId="0" borderId="0">
      <alignment vertical="top"/>
      <protection/>
    </xf>
    <xf numFmtId="0" fontId="9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4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89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180" fontId="5" fillId="0" borderId="10" xfId="80" applyNumberFormat="1" applyFont="1" applyFill="1" applyBorder="1" applyAlignment="1">
      <alignment horizontal="center"/>
      <protection/>
    </xf>
    <xf numFmtId="180" fontId="35" fillId="25" borderId="10" xfId="80" applyNumberFormat="1" applyFont="1" applyFill="1" applyBorder="1" applyAlignment="1">
      <alignment horizontal="center"/>
      <protection/>
    </xf>
    <xf numFmtId="180" fontId="21" fillId="0" borderId="10" xfId="80" applyNumberFormat="1" applyFont="1" applyFill="1" applyBorder="1" applyAlignment="1">
      <alignment horizontal="center"/>
      <protection/>
    </xf>
    <xf numFmtId="180" fontId="35" fillId="0" borderId="10" xfId="80" applyNumberFormat="1" applyFont="1" applyFill="1" applyBorder="1" applyAlignment="1">
      <alignment horizont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0" fontId="23" fillId="0" borderId="10" xfId="0" applyNumberFormat="1" applyFont="1" applyFill="1" applyBorder="1" applyAlignment="1">
      <alignment vertical="top" wrapText="1"/>
    </xf>
    <xf numFmtId="180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0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0" fontId="23" fillId="0" borderId="10" xfId="70" applyNumberFormat="1" applyFont="1" applyFill="1" applyBorder="1" applyAlignment="1">
      <alignment horizontal="center" vertical="center" wrapText="1"/>
      <protection/>
    </xf>
    <xf numFmtId="185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0" fontId="21" fillId="0" borderId="10" xfId="0" applyNumberFormat="1" applyFont="1" applyFill="1" applyBorder="1" applyAlignment="1">
      <alignment vertical="top" wrapText="1"/>
    </xf>
    <xf numFmtId="180" fontId="3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3" fillId="0" borderId="10" xfId="87" applyFont="1" applyBorder="1">
      <alignment/>
      <protection/>
    </xf>
    <xf numFmtId="0" fontId="3" fillId="24" borderId="10" xfId="87" applyFont="1" applyFill="1" applyBorder="1">
      <alignment/>
      <protection/>
    </xf>
    <xf numFmtId="180" fontId="5" fillId="24" borderId="10" xfId="98" applyNumberFormat="1" applyFont="1" applyFill="1" applyBorder="1" applyAlignment="1">
      <alignment horizontal="center" vertical="center"/>
    </xf>
    <xf numFmtId="0" fontId="5" fillId="25" borderId="0" xfId="87" applyFont="1" applyFill="1" applyBorder="1" applyAlignment="1">
      <alignment/>
      <protection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180" fontId="21" fillId="0" borderId="10" xfId="80" applyNumberFormat="1" applyFont="1" applyFill="1" applyBorder="1" applyAlignment="1">
      <alignment horizontal="center"/>
      <protection/>
    </xf>
    <xf numFmtId="4" fontId="21" fillId="24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180" fontId="3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10" borderId="10" xfId="0" applyNumberFormat="1" applyFont="1" applyFill="1" applyBorder="1" applyAlignment="1">
      <alignment horizontal="center" vertical="center" wrapText="1"/>
    </xf>
    <xf numFmtId="180" fontId="5" fillId="0" borderId="10" xfId="98" applyNumberFormat="1" applyFont="1" applyFill="1" applyBorder="1" applyAlignment="1">
      <alignment horizontal="center" vertical="center"/>
    </xf>
    <xf numFmtId="0" fontId="0" fillId="0" borderId="10" xfId="87" applyFont="1" applyBorder="1">
      <alignment/>
      <protection/>
    </xf>
    <xf numFmtId="180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180" fontId="37" fillId="25" borderId="11" xfId="80" applyNumberFormat="1" applyFont="1" applyFill="1" applyBorder="1" applyAlignment="1">
      <alignment horizontal="center" vertical="center"/>
      <protection/>
    </xf>
    <xf numFmtId="0" fontId="5" fillId="0" borderId="10" xfId="87" applyFont="1" applyBorder="1" applyAlignment="1">
      <alignment horizontal="center" wrapText="1"/>
      <protection/>
    </xf>
    <xf numFmtId="180" fontId="21" fillId="25" borderId="12" xfId="80" applyNumberFormat="1" applyFont="1" applyFill="1" applyBorder="1" applyAlignment="1">
      <alignment horizontal="center" vertical="center"/>
      <protection/>
    </xf>
    <xf numFmtId="180" fontId="21" fillId="25" borderId="13" xfId="80" applyNumberFormat="1" applyFont="1" applyFill="1" applyBorder="1" applyAlignment="1">
      <alignment horizontal="center" vertical="center"/>
      <protection/>
    </xf>
    <xf numFmtId="180" fontId="21" fillId="25" borderId="11" xfId="80" applyNumberFormat="1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5" fillId="0" borderId="11" xfId="87" applyFont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4"/>
  <sheetViews>
    <sheetView tabSelected="1" view="pageBreakPreview" zoomScale="60" zoomScaleNormal="67" zoomScalePageLayoutView="0" workbookViewId="0" topLeftCell="A1">
      <pane xSplit="3" ySplit="8" topLeftCell="D13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M16" sqref="AM16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0" style="6" hidden="1" customWidth="1"/>
    <col min="29" max="29" width="13.16015625" style="6" customWidth="1"/>
    <col min="30" max="16384" width="9.33203125" style="6" customWidth="1"/>
  </cols>
  <sheetData>
    <row r="2" spans="1:7" ht="21" customHeight="1">
      <c r="A2" s="97" t="s">
        <v>21</v>
      </c>
      <c r="B2" s="97"/>
      <c r="C2" s="97"/>
      <c r="D2" s="97"/>
      <c r="E2" s="97"/>
      <c r="F2" s="97"/>
      <c r="G2" s="97"/>
    </row>
    <row r="3" spans="1:7" ht="20.25" customHeight="1">
      <c r="A3" s="98" t="s">
        <v>3</v>
      </c>
      <c r="B3" s="98"/>
      <c r="C3" s="98"/>
      <c r="D3" s="98"/>
      <c r="E3" s="98"/>
      <c r="F3" s="98"/>
      <c r="G3" s="98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99" t="s">
        <v>7</v>
      </c>
      <c r="B5" s="11"/>
      <c r="C5" s="99" t="s">
        <v>23</v>
      </c>
      <c r="D5" s="92" t="s">
        <v>24</v>
      </c>
      <c r="E5" s="92" t="s">
        <v>0</v>
      </c>
      <c r="F5" s="92" t="s">
        <v>1</v>
      </c>
      <c r="G5" s="13" t="s">
        <v>2</v>
      </c>
      <c r="H5" s="92" t="s">
        <v>201</v>
      </c>
      <c r="I5" s="86" t="s">
        <v>27</v>
      </c>
      <c r="J5" s="86" t="s">
        <v>200</v>
      </c>
    </row>
    <row r="6" spans="1:25" ht="35.25" customHeight="1">
      <c r="A6" s="100"/>
      <c r="B6" s="14" t="s">
        <v>8</v>
      </c>
      <c r="C6" s="100"/>
      <c r="D6" s="93"/>
      <c r="E6" s="93"/>
      <c r="F6" s="93"/>
      <c r="G6" s="12" t="s">
        <v>25</v>
      </c>
      <c r="H6" s="93"/>
      <c r="I6" s="87"/>
      <c r="J6" s="87"/>
      <c r="L6" s="88" t="s">
        <v>199</v>
      </c>
      <c r="M6" s="86" t="s">
        <v>175</v>
      </c>
      <c r="N6" s="90" t="s">
        <v>176</v>
      </c>
      <c r="O6" s="86" t="s">
        <v>177</v>
      </c>
      <c r="P6" s="86" t="s">
        <v>178</v>
      </c>
      <c r="Q6" s="86" t="s">
        <v>179</v>
      </c>
      <c r="R6" s="86" t="s">
        <v>180</v>
      </c>
      <c r="S6" s="86" t="s">
        <v>181</v>
      </c>
      <c r="T6" s="86" t="s">
        <v>182</v>
      </c>
      <c r="U6" s="86" t="s">
        <v>183</v>
      </c>
      <c r="V6" s="86" t="s">
        <v>184</v>
      </c>
      <c r="W6" s="86" t="s">
        <v>185</v>
      </c>
      <c r="X6" s="86" t="s">
        <v>186</v>
      </c>
      <c r="Y6" s="86" t="s">
        <v>187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9"/>
      <c r="M7" s="87"/>
      <c r="N7" s="91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5" s="15" customFormat="1" ht="19.5" customHeight="1">
      <c r="A8" s="94" t="s">
        <v>11</v>
      </c>
      <c r="B8" s="95"/>
      <c r="C8" s="95"/>
      <c r="D8" s="95"/>
      <c r="E8" s="95"/>
      <c r="F8" s="95"/>
      <c r="G8" s="95"/>
      <c r="H8" s="95"/>
      <c r="I8" s="95"/>
      <c r="J8" s="96"/>
      <c r="L8" s="61"/>
      <c r="M8" s="61"/>
      <c r="N8" s="62"/>
      <c r="O8" s="61"/>
      <c r="P8" s="61"/>
      <c r="Q8" s="61"/>
      <c r="R8" s="61"/>
      <c r="S8" s="61"/>
      <c r="T8" s="61"/>
      <c r="U8" s="61"/>
      <c r="V8" s="61"/>
      <c r="W8" s="61"/>
      <c r="X8" s="61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150974617.36</v>
      </c>
      <c r="E9" s="19">
        <f>E10+E26</f>
        <v>58097328.89</v>
      </c>
      <c r="F9" s="19">
        <f>F10+F26</f>
        <v>92877288.47</v>
      </c>
      <c r="G9" s="19">
        <f>G10+G26</f>
        <v>92877288.47</v>
      </c>
      <c r="H9" s="19">
        <f>H10+H26</f>
        <v>79931786.53999999</v>
      </c>
      <c r="I9" s="38">
        <f aca="true" t="shared" si="0" ref="I9:I25">H9/D9*100</f>
        <v>52.94385767469911</v>
      </c>
      <c r="J9" s="63">
        <f>H9/(M9+N9+O9+N26+O26+P9+P26+Q9+R9+S9+Q26+R26+S26+T9+T26+U9+U26)*100</f>
        <v>77.8663109429394</v>
      </c>
      <c r="K9" s="64"/>
      <c r="L9" s="65">
        <f>H10-(M9+N9+O9+P9+Q9+R9+S9+T9+U9)</f>
        <v>-6061838.450000003</v>
      </c>
      <c r="M9" s="66">
        <f>M10+M18</f>
        <v>5500800</v>
      </c>
      <c r="N9" s="67">
        <f>N10+N18</f>
        <v>4980000</v>
      </c>
      <c r="O9" s="66">
        <f>O10+O18</f>
        <v>4668604.88</v>
      </c>
      <c r="P9" s="66">
        <f>P10+P18</f>
        <v>-392439</v>
      </c>
      <c r="Q9" s="66">
        <f aca="true" t="shared" si="1" ref="Q9:X9">Q10+Q18</f>
        <v>2172168</v>
      </c>
      <c r="R9" s="66">
        <f t="shared" si="1"/>
        <v>2349352.8499999996</v>
      </c>
      <c r="S9" s="66">
        <f t="shared" si="1"/>
        <v>2763135.73</v>
      </c>
      <c r="T9" s="66">
        <f t="shared" si="1"/>
        <v>5718972.4</v>
      </c>
      <c r="U9" s="66">
        <f t="shared" si="1"/>
        <v>6655606.34</v>
      </c>
      <c r="V9" s="66">
        <f t="shared" si="1"/>
        <v>10512691.35</v>
      </c>
      <c r="W9" s="66">
        <f t="shared" si="1"/>
        <v>5689987.34</v>
      </c>
      <c r="X9" s="66">
        <f t="shared" si="1"/>
        <v>7478449</v>
      </c>
      <c r="Y9" s="22">
        <f>SUM(M9:X9)</f>
        <v>58097328.89</v>
      </c>
      <c r="Z9" s="68">
        <f>D10-Y9</f>
        <v>0</v>
      </c>
      <c r="AC9" s="68"/>
    </row>
    <row r="10" spans="1:26" ht="18.75">
      <c r="A10" s="1"/>
      <c r="B10" s="20"/>
      <c r="C10" s="21" t="s">
        <v>12</v>
      </c>
      <c r="D10" s="22">
        <f>SUM(D11:D18)</f>
        <v>58097328.89</v>
      </c>
      <c r="E10" s="22">
        <f>SUM(E11:E18)</f>
        <v>58097328.89</v>
      </c>
      <c r="F10" s="22"/>
      <c r="G10" s="22"/>
      <c r="H10" s="22">
        <f>SUM(H11:H17)+H18</f>
        <v>28354362.75</v>
      </c>
      <c r="I10" s="39">
        <f t="shared" si="0"/>
        <v>48.80493353435478</v>
      </c>
      <c r="J10" s="69">
        <f>H10/(M9+N9+O9+P9+Q9+R9+S9+T9+U9)*100</f>
        <v>82.38667186197179</v>
      </c>
      <c r="L10" s="65">
        <f>(H11+H14+H15+H17)-(M10+N10+O10+P10+Q10+R10+S10+T10+U10)</f>
        <v>-2765984.019999996</v>
      </c>
      <c r="M10" s="24">
        <f>5000800+300000</f>
        <v>5300800</v>
      </c>
      <c r="N10" s="70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41652628.89</v>
      </c>
      <c r="Z10" s="68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</f>
        <v>7908650.47</v>
      </c>
      <c r="I11" s="78">
        <f>H11/D11*100</f>
        <v>40.98398066511198</v>
      </c>
      <c r="J11" s="83">
        <f>(H11+H13+H14+H15+H16+H17)/(M10+N10+O10+P10+Q10+R10+S10+T10+U10)*100</f>
        <v>86.80805000885186</v>
      </c>
      <c r="L11" s="65"/>
      <c r="M11" s="24"/>
      <c r="N11" s="70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8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84"/>
      <c r="L12" s="65"/>
      <c r="M12" s="24"/>
      <c r="N12" s="70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8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84"/>
      <c r="L13" s="65"/>
      <c r="M13" s="24"/>
      <c r="N13" s="70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8"/>
    </row>
    <row r="14" spans="1:26" s="4" customFormat="1" ht="18.75">
      <c r="A14" s="1"/>
      <c r="B14" s="5"/>
      <c r="C14" s="23" t="s">
        <v>16</v>
      </c>
      <c r="D14" s="24">
        <f t="shared" si="2"/>
        <v>4602736</v>
      </c>
      <c r="E14" s="24">
        <f>4127736+475000</f>
        <v>4602736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</f>
        <v>3316330.7800000003</v>
      </c>
      <c r="I14" s="41">
        <f t="shared" si="0"/>
        <v>72.05129253557016</v>
      </c>
      <c r="J14" s="84"/>
      <c r="L14" s="65"/>
      <c r="M14" s="24"/>
      <c r="N14" s="70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8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</f>
        <v>1770808</v>
      </c>
      <c r="I15" s="41">
        <f t="shared" si="0"/>
        <v>55.741878619994964</v>
      </c>
      <c r="J15" s="84"/>
      <c r="L15" s="65"/>
      <c r="M15" s="24"/>
      <c r="N15" s="70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8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/>
      <c r="I16" s="42">
        <f t="shared" si="0"/>
        <v>0</v>
      </c>
      <c r="J16" s="84"/>
      <c r="L16" s="65"/>
      <c r="M16" s="24"/>
      <c r="N16" s="70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8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85"/>
      <c r="L17" s="65"/>
      <c r="M17" s="24"/>
      <c r="N17" s="70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8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10153135.54</v>
      </c>
      <c r="I18" s="41">
        <f t="shared" si="0"/>
        <v>61.74108095617432</v>
      </c>
      <c r="J18" s="83">
        <f>H18/(M18+N18+O18+P18+Q18+R18+S18+T18+U18)*100</f>
        <v>75.49366578938714</v>
      </c>
      <c r="L18" s="65">
        <f>H18-(M18+N18+O18+P18+Q18+R18+S18+T18+U18)</f>
        <v>-3295854.4300000016</v>
      </c>
      <c r="M18" s="24">
        <f>500000-300000</f>
        <v>200000</v>
      </c>
      <c r="N18" s="70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8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</f>
        <v>3708483.5200000005</v>
      </c>
      <c r="I19" s="41">
        <f t="shared" si="0"/>
        <v>97.06710053249074</v>
      </c>
      <c r="J19" s="84"/>
      <c r="L19" s="65">
        <f>D19-H19</f>
        <v>112052.47999999952</v>
      </c>
      <c r="M19" s="24"/>
      <c r="N19" s="70"/>
      <c r="O19" s="24"/>
      <c r="P19" s="24"/>
      <c r="Q19" s="24"/>
      <c r="R19" s="24"/>
      <c r="S19" s="24"/>
      <c r="T19" s="24">
        <f>E19-H19</f>
        <v>112052.47999999952</v>
      </c>
      <c r="U19" s="24"/>
      <c r="V19" s="24"/>
      <c r="W19" s="24"/>
      <c r="X19" s="24"/>
      <c r="Y19" s="22">
        <f t="shared" si="3"/>
        <v>112052.47999999952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</f>
        <v>2922732.5</v>
      </c>
      <c r="I20" s="41">
        <f t="shared" si="0"/>
        <v>41.999076021980045</v>
      </c>
      <c r="J20" s="84"/>
      <c r="L20" s="65">
        <f aca="true" t="shared" si="5" ref="L20:L25">D20-H20</f>
        <v>4036307.5</v>
      </c>
      <c r="M20" s="24"/>
      <c r="N20" s="70"/>
      <c r="O20" s="24"/>
      <c r="P20" s="24"/>
      <c r="Q20" s="24"/>
      <c r="R20" s="24"/>
      <c r="S20" s="24"/>
      <c r="T20" s="24">
        <f aca="true" t="shared" si="6" ref="T20:T25">E20-H20</f>
        <v>4036307.5</v>
      </c>
      <c r="U20" s="24"/>
      <c r="V20" s="24"/>
      <c r="W20" s="24"/>
      <c r="X20" s="24"/>
      <c r="Y20" s="22">
        <f t="shared" si="3"/>
        <v>4036307.5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v>20796</v>
      </c>
      <c r="I21" s="41">
        <f t="shared" si="0"/>
        <v>3.2047093632497075</v>
      </c>
      <c r="J21" s="84"/>
      <c r="L21" s="65">
        <f t="shared" si="5"/>
        <v>628124</v>
      </c>
      <c r="M21" s="24"/>
      <c r="N21" s="70"/>
      <c r="O21" s="24"/>
      <c r="P21" s="24"/>
      <c r="Q21" s="24"/>
      <c r="R21" s="24"/>
      <c r="S21" s="24"/>
      <c r="T21" s="24">
        <f t="shared" si="6"/>
        <v>628124</v>
      </c>
      <c r="U21" s="24"/>
      <c r="V21" s="24"/>
      <c r="W21" s="24"/>
      <c r="X21" s="24"/>
      <c r="Y21" s="22">
        <f t="shared" si="3"/>
        <v>628124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32642.66+205118.63+15078+86000.71+13880+22980+15703+42945.76+29045.7+560+15660.22+21672+204231.03+3166.81+33355.03+4279.2+84253.73+53524.99+114875.8+21641+53234.99</f>
        <v>1073849.26</v>
      </c>
      <c r="I22" s="41">
        <f t="shared" si="0"/>
        <v>96.53011461189267</v>
      </c>
      <c r="J22" s="84"/>
      <c r="L22" s="65">
        <f t="shared" si="5"/>
        <v>38600.73999999999</v>
      </c>
      <c r="M22" s="24"/>
      <c r="N22" s="70"/>
      <c r="O22" s="24"/>
      <c r="P22" s="24"/>
      <c r="Q22" s="24"/>
      <c r="R22" s="24"/>
      <c r="S22" s="24"/>
      <c r="T22" s="24">
        <f t="shared" si="6"/>
        <v>38600.73999999999</v>
      </c>
      <c r="U22" s="24"/>
      <c r="V22" s="24"/>
      <c r="W22" s="24"/>
      <c r="X22" s="24"/>
      <c r="Y22" s="22">
        <f t="shared" si="3"/>
        <v>38600.73999999999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84"/>
      <c r="L23" s="65">
        <f t="shared" si="5"/>
        <v>498426</v>
      </c>
      <c r="M23" s="24"/>
      <c r="N23" s="70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</f>
        <v>182429.41999999998</v>
      </c>
      <c r="I24" s="41">
        <f t="shared" si="0"/>
        <v>63.765329698177176</v>
      </c>
      <c r="J24" s="84"/>
      <c r="L24" s="65">
        <f t="shared" si="5"/>
        <v>103665.58000000002</v>
      </c>
      <c r="M24" s="24"/>
      <c r="N24" s="70"/>
      <c r="O24" s="24"/>
      <c r="P24" s="24"/>
      <c r="Q24" s="24"/>
      <c r="R24" s="24"/>
      <c r="S24" s="24"/>
      <c r="T24" s="24">
        <f t="shared" si="6"/>
        <v>103665.58000000002</v>
      </c>
      <c r="U24" s="24"/>
      <c r="V24" s="24"/>
      <c r="W24" s="24"/>
      <c r="X24" s="24"/>
      <c r="Y24" s="22">
        <f t="shared" si="3"/>
        <v>103665.58000000002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</f>
        <v>1847825.8399999999</v>
      </c>
      <c r="I25" s="41">
        <f t="shared" si="0"/>
        <v>67.87952159528972</v>
      </c>
      <c r="J25" s="85"/>
      <c r="L25" s="65">
        <f t="shared" si="5"/>
        <v>874388.1600000001</v>
      </c>
      <c r="M25" s="24"/>
      <c r="N25" s="70"/>
      <c r="O25" s="24"/>
      <c r="P25" s="24"/>
      <c r="Q25" s="24"/>
      <c r="R25" s="24"/>
      <c r="S25" s="24"/>
      <c r="T25" s="24">
        <f t="shared" si="6"/>
        <v>874388.1600000001</v>
      </c>
      <c r="U25" s="24"/>
      <c r="V25" s="24"/>
      <c r="W25" s="24"/>
      <c r="X25" s="24"/>
      <c r="Y25" s="22">
        <f t="shared" si="3"/>
        <v>874388.1600000001</v>
      </c>
    </row>
    <row r="26" spans="1:26" ht="26.25" customHeight="1">
      <c r="A26" s="1"/>
      <c r="B26" s="20"/>
      <c r="C26" s="21" t="s">
        <v>30</v>
      </c>
      <c r="D26" s="22">
        <f>E26+F26</f>
        <v>92877288.47</v>
      </c>
      <c r="E26" s="22"/>
      <c r="F26" s="22">
        <f>SUM(F27:F145)</f>
        <v>92877288.47</v>
      </c>
      <c r="G26" s="22">
        <f>SUM(G27:G145)</f>
        <v>92877288.47</v>
      </c>
      <c r="H26" s="22">
        <f>SUM(H27:H145)</f>
        <v>51577423.79</v>
      </c>
      <c r="I26" s="22">
        <f>H26/D26*100</f>
        <v>55.532869918634475</v>
      </c>
      <c r="J26" s="22">
        <f>H26/(N26+O26+P26+Q26+R26+S26+T26+U26)*100</f>
        <v>75.58638891189845</v>
      </c>
      <c r="L26" s="65">
        <f>H26-(M26+N26+O26+P26+Q26+R26+S26+T26+U26)</f>
        <v>-16658967.089999996</v>
      </c>
      <c r="M26" s="71"/>
      <c r="N26" s="22">
        <f aca="true" t="shared" si="7" ref="N26:Y26">SUM(N27:N145)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3598525.89</v>
      </c>
      <c r="V26" s="22">
        <f t="shared" si="7"/>
        <v>7259741.23</v>
      </c>
      <c r="W26" s="22">
        <f t="shared" si="7"/>
        <v>8657397.45</v>
      </c>
      <c r="X26" s="22">
        <f t="shared" si="7"/>
        <v>8723759.120000001</v>
      </c>
      <c r="Y26" s="22">
        <f t="shared" si="7"/>
        <v>92877288.67999999</v>
      </c>
      <c r="Z26" s="68">
        <f>Y26-D26</f>
        <v>0.20999999344348907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0">G27</f>
        <v>0</v>
      </c>
      <c r="E27" s="56"/>
      <c r="F27" s="55">
        <f aca="true" t="shared" si="9" ref="F27:F90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72" t="e">
        <f>H27/(N27+O27+P27+Q27+R27+S27)*100</f>
        <v>#DIV/0!</v>
      </c>
      <c r="L27" s="65">
        <f aca="true" t="shared" si="11" ref="L27:L90">H27-(M27+N27+O27+P27+Q27+R27+S27+T27+U27)</f>
        <v>0</v>
      </c>
      <c r="M27" s="73"/>
      <c r="N27" s="73"/>
      <c r="O27" s="73"/>
      <c r="P27" s="73"/>
      <c r="Q27" s="73"/>
      <c r="R27" s="73"/>
      <c r="S27" s="73">
        <f>8000-8000</f>
        <v>0</v>
      </c>
      <c r="T27" s="73">
        <f>56000-56000</f>
        <v>0</v>
      </c>
      <c r="U27" s="73"/>
      <c r="V27" s="73">
        <f>16000-16000</f>
        <v>0</v>
      </c>
      <c r="W27" s="73"/>
      <c r="X27" s="73"/>
      <c r="Y27" s="22">
        <f aca="true" t="shared" si="12" ref="Y27:Y92">SUM(M27:X27)</f>
        <v>0</v>
      </c>
      <c r="Z27" s="68">
        <f aca="true" t="shared" si="13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72" t="e">
        <f>H28/(N28+O28+P28+Q28+R28+S28)*100</f>
        <v>#DIV/0!</v>
      </c>
      <c r="L28" s="65">
        <f t="shared" si="11"/>
        <v>0</v>
      </c>
      <c r="M28" s="73"/>
      <c r="N28" s="73"/>
      <c r="O28" s="73"/>
      <c r="P28" s="73"/>
      <c r="Q28" s="73"/>
      <c r="R28" s="73"/>
      <c r="S28" s="73">
        <f>14000-14000</f>
        <v>0</v>
      </c>
      <c r="T28" s="73">
        <f>98000-98000</f>
        <v>0</v>
      </c>
      <c r="U28" s="73"/>
      <c r="V28" s="73">
        <f>28000-28000</f>
        <v>0</v>
      </c>
      <c r="W28" s="73"/>
      <c r="X28" s="73"/>
      <c r="Y28" s="22">
        <f t="shared" si="12"/>
        <v>0</v>
      </c>
      <c r="Z28" s="68">
        <f t="shared" si="13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72" t="e">
        <f>H29/(N29+O29+P29+Q29+R29+S29+T29)*100</f>
        <v>#DIV/0!</v>
      </c>
      <c r="L29" s="65">
        <f t="shared" si="11"/>
        <v>0</v>
      </c>
      <c r="M29" s="73"/>
      <c r="N29" s="73"/>
      <c r="O29" s="73"/>
      <c r="P29" s="73"/>
      <c r="Q29" s="73"/>
      <c r="R29" s="73"/>
      <c r="S29" s="73">
        <v>15340</v>
      </c>
      <c r="T29" s="79">
        <f>107380-122720</f>
        <v>-15340</v>
      </c>
      <c r="U29" s="73"/>
      <c r="V29" s="73">
        <f>30680-30680</f>
        <v>0</v>
      </c>
      <c r="W29" s="73"/>
      <c r="X29" s="73"/>
      <c r="Y29" s="22">
        <f t="shared" si="12"/>
        <v>0</v>
      </c>
      <c r="Z29" s="68">
        <f t="shared" si="13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72" t="e">
        <f>H30/(N30+O30+P30+Q30+R30+S30+T30)*100</f>
        <v>#DIV/0!</v>
      </c>
      <c r="L30" s="65">
        <f t="shared" si="11"/>
        <v>0</v>
      </c>
      <c r="M30" s="73"/>
      <c r="N30" s="73"/>
      <c r="O30" s="73"/>
      <c r="P30" s="73"/>
      <c r="Q30" s="73"/>
      <c r="R30" s="73"/>
      <c r="S30" s="73">
        <v>15340</v>
      </c>
      <c r="T30" s="79">
        <f>107380-122720</f>
        <v>-15340</v>
      </c>
      <c r="U30" s="73"/>
      <c r="V30" s="73">
        <f>30680-30680</f>
        <v>0</v>
      </c>
      <c r="W30" s="73"/>
      <c r="X30" s="73"/>
      <c r="Y30" s="22">
        <f t="shared" si="12"/>
        <v>0</v>
      </c>
      <c r="Z30" s="68">
        <f t="shared" si="13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2"/>
      <c r="I31" s="42">
        <f t="shared" si="10"/>
        <v>0</v>
      </c>
      <c r="J31" s="72">
        <f>H31/(N31+O31+P31+Q31+R31+S31+T31+U31)*100</f>
        <v>0</v>
      </c>
      <c r="L31" s="65">
        <f t="shared" si="11"/>
        <v>-180560</v>
      </c>
      <c r="M31" s="73"/>
      <c r="N31" s="73"/>
      <c r="O31" s="73"/>
      <c r="P31" s="73"/>
      <c r="Q31" s="73"/>
      <c r="R31" s="73"/>
      <c r="S31" s="73">
        <v>22570</v>
      </c>
      <c r="T31" s="79">
        <v>157990</v>
      </c>
      <c r="U31" s="73"/>
      <c r="V31" s="73">
        <v>45140</v>
      </c>
      <c r="W31" s="73"/>
      <c r="X31" s="73"/>
      <c r="Y31" s="22">
        <f t="shared" si="12"/>
        <v>225700</v>
      </c>
      <c r="Z31" s="68">
        <f t="shared" si="13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2"/>
      <c r="I32" s="42">
        <f>H32/D32*100</f>
        <v>0</v>
      </c>
      <c r="J32" s="72">
        <f aca="true" t="shared" si="14" ref="J32:J95">H32/(N32+O32+P32+Q32+R32+S32+T32+U32)*100</f>
        <v>0</v>
      </c>
      <c r="L32" s="65">
        <f t="shared" si="11"/>
        <v>-613600</v>
      </c>
      <c r="M32" s="73"/>
      <c r="N32" s="73"/>
      <c r="O32" s="73"/>
      <c r="P32" s="73"/>
      <c r="Q32" s="73"/>
      <c r="R32" s="73"/>
      <c r="S32" s="73">
        <v>76700</v>
      </c>
      <c r="T32" s="79">
        <v>536900</v>
      </c>
      <c r="U32" s="73"/>
      <c r="V32" s="73">
        <v>153400</v>
      </c>
      <c r="W32" s="73"/>
      <c r="X32" s="73"/>
      <c r="Y32" s="22">
        <f t="shared" si="12"/>
        <v>767000</v>
      </c>
      <c r="Z32" s="68">
        <f t="shared" si="13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2"/>
      <c r="I33" s="42">
        <f t="shared" si="10"/>
        <v>0</v>
      </c>
      <c r="J33" s="72">
        <f t="shared" si="14"/>
        <v>0</v>
      </c>
      <c r="L33" s="65">
        <f t="shared" si="11"/>
        <v>-480000</v>
      </c>
      <c r="M33" s="73"/>
      <c r="N33" s="73"/>
      <c r="O33" s="73"/>
      <c r="P33" s="73"/>
      <c r="Q33" s="73"/>
      <c r="R33" s="73"/>
      <c r="S33" s="73">
        <v>60000</v>
      </c>
      <c r="T33" s="79">
        <v>420000</v>
      </c>
      <c r="U33" s="73"/>
      <c r="V33" s="73">
        <v>120000</v>
      </c>
      <c r="W33" s="73"/>
      <c r="X33" s="73"/>
      <c r="Y33" s="22">
        <f t="shared" si="12"/>
        <v>600000</v>
      </c>
      <c r="Z33" s="68">
        <f t="shared" si="13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2"/>
      <c r="I34" s="42" t="e">
        <f t="shared" si="10"/>
        <v>#DIV/0!</v>
      </c>
      <c r="J34" s="72" t="e">
        <f t="shared" si="14"/>
        <v>#DIV/0!</v>
      </c>
      <c r="L34" s="65">
        <f t="shared" si="11"/>
        <v>0</v>
      </c>
      <c r="M34" s="73"/>
      <c r="N34" s="73"/>
      <c r="O34" s="73"/>
      <c r="P34" s="73"/>
      <c r="Q34" s="73"/>
      <c r="R34" s="73"/>
      <c r="S34" s="73">
        <f>10000-10000</f>
        <v>0</v>
      </c>
      <c r="T34" s="79">
        <f>70000-70000</f>
        <v>0</v>
      </c>
      <c r="U34" s="73"/>
      <c r="V34" s="73">
        <f>20000-20000</f>
        <v>0</v>
      </c>
      <c r="W34" s="73"/>
      <c r="X34" s="73"/>
      <c r="Y34" s="22">
        <f t="shared" si="12"/>
        <v>0</v>
      </c>
      <c r="Z34" s="68">
        <f t="shared" si="13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2"/>
      <c r="I35" s="42">
        <f t="shared" si="10"/>
        <v>0</v>
      </c>
      <c r="J35" s="72" t="e">
        <f t="shared" si="14"/>
        <v>#DIV/0!</v>
      </c>
      <c r="L35" s="65">
        <f t="shared" si="11"/>
        <v>0</v>
      </c>
      <c r="M35" s="73"/>
      <c r="N35" s="73"/>
      <c r="O35" s="73"/>
      <c r="P35" s="73"/>
      <c r="Q35" s="73"/>
      <c r="R35" s="73"/>
      <c r="S35" s="73">
        <v>62000</v>
      </c>
      <c r="T35" s="79">
        <f>434000-496000</f>
        <v>-62000</v>
      </c>
      <c r="U35" s="73"/>
      <c r="V35" s="73">
        <f>124000+496000</f>
        <v>620000</v>
      </c>
      <c r="W35" s="73"/>
      <c r="X35" s="73"/>
      <c r="Y35" s="22">
        <f t="shared" si="12"/>
        <v>620000</v>
      </c>
      <c r="Z35" s="68">
        <f t="shared" si="13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2"/>
      <c r="I36" s="42" t="e">
        <f t="shared" si="10"/>
        <v>#DIV/0!</v>
      </c>
      <c r="J36" s="72" t="e">
        <f t="shared" si="14"/>
        <v>#DIV/0!</v>
      </c>
      <c r="L36" s="65">
        <f t="shared" si="11"/>
        <v>0</v>
      </c>
      <c r="M36" s="73"/>
      <c r="N36" s="73"/>
      <c r="O36" s="73"/>
      <c r="P36" s="73"/>
      <c r="Q36" s="73"/>
      <c r="R36" s="73"/>
      <c r="S36" s="73">
        <f>8000-8000</f>
        <v>0</v>
      </c>
      <c r="T36" s="79">
        <f>56000-56000</f>
        <v>0</v>
      </c>
      <c r="U36" s="73"/>
      <c r="V36" s="73">
        <f>16000-16000</f>
        <v>0</v>
      </c>
      <c r="W36" s="73"/>
      <c r="X36" s="73"/>
      <c r="Y36" s="22">
        <f t="shared" si="12"/>
        <v>0</v>
      </c>
      <c r="Z36" s="68">
        <f t="shared" si="13"/>
        <v>0</v>
      </c>
    </row>
    <row r="37" spans="1:26" ht="26.25" customHeight="1">
      <c r="A37" s="1"/>
      <c r="B37" s="20"/>
      <c r="C37" s="54" t="s">
        <v>188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2"/>
      <c r="I37" s="42">
        <f t="shared" si="10"/>
        <v>0</v>
      </c>
      <c r="J37" s="72">
        <f t="shared" si="14"/>
        <v>0</v>
      </c>
      <c r="L37" s="65">
        <f t="shared" si="11"/>
        <v>-160000</v>
      </c>
      <c r="M37" s="73"/>
      <c r="N37" s="73"/>
      <c r="O37" s="73"/>
      <c r="P37" s="73"/>
      <c r="Q37" s="73"/>
      <c r="R37" s="73"/>
      <c r="S37" s="73">
        <v>20000</v>
      </c>
      <c r="T37" s="79">
        <v>140000</v>
      </c>
      <c r="U37" s="73"/>
      <c r="V37" s="73">
        <v>40000</v>
      </c>
      <c r="W37" s="73"/>
      <c r="X37" s="73"/>
      <c r="Y37" s="22">
        <f t="shared" si="12"/>
        <v>200000</v>
      </c>
      <c r="Z37" s="68">
        <f t="shared" si="13"/>
        <v>0</v>
      </c>
    </row>
    <row r="38" spans="1:26" ht="26.25" customHeight="1">
      <c r="A38" s="1"/>
      <c r="B38" s="20"/>
      <c r="C38" s="54" t="s">
        <v>189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2"/>
      <c r="I38" s="42">
        <f t="shared" si="10"/>
        <v>0</v>
      </c>
      <c r="J38" s="72">
        <f t="shared" si="14"/>
        <v>0</v>
      </c>
      <c r="L38" s="65">
        <f t="shared" si="11"/>
        <v>-80000</v>
      </c>
      <c r="M38" s="73"/>
      <c r="N38" s="73"/>
      <c r="O38" s="73"/>
      <c r="P38" s="73"/>
      <c r="Q38" s="73"/>
      <c r="R38" s="73"/>
      <c r="S38" s="73">
        <v>10000</v>
      </c>
      <c r="T38" s="79">
        <v>70000</v>
      </c>
      <c r="U38" s="73"/>
      <c r="V38" s="73">
        <v>20000</v>
      </c>
      <c r="W38" s="73"/>
      <c r="X38" s="73"/>
      <c r="Y38" s="22">
        <f t="shared" si="12"/>
        <v>100000</v>
      </c>
      <c r="Z38" s="68">
        <f t="shared" si="13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2"/>
      <c r="I39" s="42">
        <f>H39/D39*100</f>
        <v>0</v>
      </c>
      <c r="J39" s="72">
        <f t="shared" si="14"/>
        <v>0</v>
      </c>
      <c r="L39" s="65">
        <f t="shared" si="11"/>
        <v>-180480</v>
      </c>
      <c r="M39" s="73"/>
      <c r="N39" s="73"/>
      <c r="O39" s="73"/>
      <c r="P39" s="73"/>
      <c r="Q39" s="73"/>
      <c r="R39" s="73"/>
      <c r="S39" s="73">
        <v>22560</v>
      </c>
      <c r="T39" s="79">
        <v>157920</v>
      </c>
      <c r="U39" s="73"/>
      <c r="V39" s="73">
        <v>45120</v>
      </c>
      <c r="W39" s="73"/>
      <c r="X39" s="73"/>
      <c r="Y39" s="22">
        <f t="shared" si="12"/>
        <v>225600</v>
      </c>
      <c r="Z39" s="68">
        <f t="shared" si="13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2"/>
      <c r="I40" s="42" t="e">
        <f>H40/D40*100</f>
        <v>#DIV/0!</v>
      </c>
      <c r="J40" s="72" t="e">
        <f t="shared" si="14"/>
        <v>#DIV/0!</v>
      </c>
      <c r="L40" s="65">
        <f t="shared" si="11"/>
        <v>0</v>
      </c>
      <c r="M40" s="73"/>
      <c r="N40" s="73"/>
      <c r="O40" s="73"/>
      <c r="P40" s="73"/>
      <c r="Q40" s="73"/>
      <c r="R40" s="73"/>
      <c r="S40" s="73">
        <f>11700-11700</f>
        <v>0</v>
      </c>
      <c r="T40" s="79">
        <f>81900-81900</f>
        <v>0</v>
      </c>
      <c r="U40" s="73"/>
      <c r="V40" s="73">
        <f>23400-23400</f>
        <v>0</v>
      </c>
      <c r="W40" s="73"/>
      <c r="X40" s="73"/>
      <c r="Y40" s="22">
        <f t="shared" si="12"/>
        <v>0</v>
      </c>
      <c r="Z40" s="68">
        <f t="shared" si="13"/>
        <v>0</v>
      </c>
    </row>
    <row r="41" spans="1:26" ht="42.75" customHeight="1">
      <c r="A41" s="1"/>
      <c r="B41" s="20"/>
      <c r="C41" s="54" t="s">
        <v>190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2"/>
      <c r="I41" s="42">
        <f>H41/D41*100</f>
        <v>0</v>
      </c>
      <c r="J41" s="72">
        <f t="shared" si="14"/>
        <v>0</v>
      </c>
      <c r="L41" s="65">
        <f t="shared" si="11"/>
        <v>-160000</v>
      </c>
      <c r="M41" s="73"/>
      <c r="N41" s="73"/>
      <c r="O41" s="73"/>
      <c r="P41" s="73"/>
      <c r="Q41" s="73"/>
      <c r="R41" s="73"/>
      <c r="S41" s="73">
        <v>20000</v>
      </c>
      <c r="T41" s="79">
        <v>140000</v>
      </c>
      <c r="U41" s="73"/>
      <c r="V41" s="73">
        <v>40000</v>
      </c>
      <c r="W41" s="73"/>
      <c r="X41" s="73"/>
      <c r="Y41" s="22">
        <f>SUM(M41:X41)</f>
        <v>200000</v>
      </c>
      <c r="Z41" s="68">
        <f>Y41-D41</f>
        <v>0</v>
      </c>
    </row>
    <row r="42" spans="1:26" ht="26.25" customHeight="1">
      <c r="A42" s="1"/>
      <c r="B42" s="20"/>
      <c r="C42" s="54" t="s">
        <v>191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2"/>
      <c r="I42" s="42">
        <f>H42/D42*100</f>
        <v>0</v>
      </c>
      <c r="J42" s="72">
        <f t="shared" si="14"/>
        <v>0</v>
      </c>
      <c r="L42" s="65">
        <f t="shared" si="11"/>
        <v>-80000</v>
      </c>
      <c r="M42" s="73"/>
      <c r="N42" s="73"/>
      <c r="O42" s="73"/>
      <c r="P42" s="73"/>
      <c r="Q42" s="73"/>
      <c r="R42" s="73"/>
      <c r="S42" s="73">
        <v>10000</v>
      </c>
      <c r="T42" s="79">
        <v>70000</v>
      </c>
      <c r="U42" s="73"/>
      <c r="V42" s="73">
        <v>20000</v>
      </c>
      <c r="W42" s="73"/>
      <c r="X42" s="73"/>
      <c r="Y42" s="22">
        <f>SUM(M42:X42)</f>
        <v>100000</v>
      </c>
      <c r="Z42" s="68">
        <f>Y42-D42</f>
        <v>0</v>
      </c>
    </row>
    <row r="43" spans="1:26" ht="26.25" customHeight="1">
      <c r="A43" s="1"/>
      <c r="B43" s="20"/>
      <c r="C43" s="54" t="s">
        <v>192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2"/>
      <c r="I43" s="42">
        <f>H43/D43*100</f>
        <v>0</v>
      </c>
      <c r="J43" s="72">
        <f t="shared" si="14"/>
        <v>0</v>
      </c>
      <c r="L43" s="65">
        <f t="shared" si="11"/>
        <v>-80000</v>
      </c>
      <c r="M43" s="73"/>
      <c r="N43" s="73"/>
      <c r="O43" s="73"/>
      <c r="P43" s="73"/>
      <c r="Q43" s="73"/>
      <c r="R43" s="73"/>
      <c r="S43" s="73">
        <v>10000</v>
      </c>
      <c r="T43" s="79">
        <v>70000</v>
      </c>
      <c r="U43" s="73"/>
      <c r="V43" s="73">
        <v>20000</v>
      </c>
      <c r="W43" s="73"/>
      <c r="X43" s="73"/>
      <c r="Y43" s="22">
        <f>SUM(M43:X43)</f>
        <v>100000</v>
      </c>
      <c r="Z43" s="68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72">
        <f t="shared" si="14"/>
        <v>12.101910828025478</v>
      </c>
      <c r="L44" s="65">
        <f t="shared" si="11"/>
        <v>-138000</v>
      </c>
      <c r="M44" s="73"/>
      <c r="N44" s="73"/>
      <c r="O44" s="73"/>
      <c r="P44" s="73"/>
      <c r="Q44" s="73"/>
      <c r="R44" s="73"/>
      <c r="S44" s="74">
        <v>5000</v>
      </c>
      <c r="T44" s="80">
        <v>35000</v>
      </c>
      <c r="U44" s="74">
        <f>117000</f>
        <v>117000</v>
      </c>
      <c r="V44" s="74">
        <v>10000</v>
      </c>
      <c r="W44" s="74"/>
      <c r="X44" s="74"/>
      <c r="Y44" s="22">
        <f t="shared" si="12"/>
        <v>167000</v>
      </c>
      <c r="Z44" s="68">
        <f t="shared" si="13"/>
        <v>0</v>
      </c>
    </row>
    <row r="45" spans="1:26" ht="26.25" customHeight="1">
      <c r="A45" s="1"/>
      <c r="B45" s="20"/>
      <c r="C45" s="54" t="s">
        <v>193</v>
      </c>
      <c r="D45" s="55">
        <f t="shared" si="8"/>
        <v>460200</v>
      </c>
      <c r="E45" s="56"/>
      <c r="F45" s="55">
        <f t="shared" si="9"/>
        <v>460200</v>
      </c>
      <c r="G45" s="51">
        <f>153400+306800</f>
        <v>460200</v>
      </c>
      <c r="H45" s="22"/>
      <c r="I45" s="42">
        <f t="shared" si="10"/>
        <v>0</v>
      </c>
      <c r="J45" s="72">
        <f t="shared" si="14"/>
        <v>0</v>
      </c>
      <c r="L45" s="65">
        <f t="shared" si="11"/>
        <v>-368160</v>
      </c>
      <c r="M45" s="73"/>
      <c r="N45" s="73"/>
      <c r="O45" s="73"/>
      <c r="P45" s="73"/>
      <c r="Q45" s="73"/>
      <c r="R45" s="73"/>
      <c r="S45" s="73">
        <v>15340</v>
      </c>
      <c r="T45" s="79">
        <f>107380+245440</f>
        <v>352820</v>
      </c>
      <c r="U45" s="73"/>
      <c r="V45" s="73">
        <f>30680+61360</f>
        <v>92040</v>
      </c>
      <c r="W45" s="73"/>
      <c r="X45" s="73"/>
      <c r="Y45" s="22">
        <f t="shared" si="12"/>
        <v>460200</v>
      </c>
      <c r="Z45" s="68">
        <f t="shared" si="13"/>
        <v>0</v>
      </c>
    </row>
    <row r="46" spans="1:26" ht="26.25" customHeight="1" hidden="1">
      <c r="A46" s="1"/>
      <c r="B46" s="20"/>
      <c r="C46" s="54" t="s">
        <v>74</v>
      </c>
      <c r="D46" s="55">
        <f t="shared" si="8"/>
        <v>0</v>
      </c>
      <c r="E46" s="56"/>
      <c r="F46" s="55">
        <f t="shared" si="9"/>
        <v>0</v>
      </c>
      <c r="G46" s="51">
        <f>153400-153400</f>
        <v>0</v>
      </c>
      <c r="H46" s="22"/>
      <c r="I46" s="42" t="e">
        <f t="shared" si="10"/>
        <v>#DIV/0!</v>
      </c>
      <c r="J46" s="72" t="e">
        <f t="shared" si="14"/>
        <v>#DIV/0!</v>
      </c>
      <c r="L46" s="65">
        <f t="shared" si="11"/>
        <v>0</v>
      </c>
      <c r="M46" s="73"/>
      <c r="N46" s="73"/>
      <c r="O46" s="73"/>
      <c r="P46" s="73"/>
      <c r="Q46" s="73"/>
      <c r="R46" s="73"/>
      <c r="S46" s="73">
        <v>15340</v>
      </c>
      <c r="T46" s="79">
        <f>107380-122720</f>
        <v>-15340</v>
      </c>
      <c r="U46" s="73"/>
      <c r="V46" s="73">
        <f>30680-30680</f>
        <v>0</v>
      </c>
      <c r="W46" s="73"/>
      <c r="X46" s="73"/>
      <c r="Y46" s="22">
        <f t="shared" si="12"/>
        <v>0</v>
      </c>
      <c r="Z46" s="68">
        <f t="shared" si="13"/>
        <v>0</v>
      </c>
    </row>
    <row r="47" spans="1:26" ht="26.25" customHeight="1">
      <c r="A47" s="1"/>
      <c r="B47" s="20"/>
      <c r="C47" s="54" t="s">
        <v>194</v>
      </c>
      <c r="D47" s="55">
        <f t="shared" si="8"/>
        <v>306800</v>
      </c>
      <c r="E47" s="56"/>
      <c r="F47" s="55">
        <f t="shared" si="9"/>
        <v>306800</v>
      </c>
      <c r="G47" s="51">
        <f>153400+153400</f>
        <v>306800</v>
      </c>
      <c r="H47" s="22"/>
      <c r="I47" s="42">
        <f t="shared" si="10"/>
        <v>0</v>
      </c>
      <c r="J47" s="72">
        <f t="shared" si="14"/>
        <v>0</v>
      </c>
      <c r="L47" s="65">
        <f t="shared" si="11"/>
        <v>-245440</v>
      </c>
      <c r="M47" s="73"/>
      <c r="N47" s="73"/>
      <c r="O47" s="73"/>
      <c r="P47" s="73"/>
      <c r="Q47" s="73"/>
      <c r="R47" s="73"/>
      <c r="S47" s="73">
        <v>15340</v>
      </c>
      <c r="T47" s="79">
        <f>107380+122720</f>
        <v>230100</v>
      </c>
      <c r="U47" s="73"/>
      <c r="V47" s="73">
        <f>30680+30680</f>
        <v>61360</v>
      </c>
      <c r="W47" s="73"/>
      <c r="X47" s="73"/>
      <c r="Y47" s="22">
        <f t="shared" si="12"/>
        <v>306800</v>
      </c>
      <c r="Z47" s="68">
        <f t="shared" si="13"/>
        <v>0</v>
      </c>
    </row>
    <row r="48" spans="1:26" ht="43.5" customHeight="1">
      <c r="A48" s="1"/>
      <c r="B48" s="20"/>
      <c r="C48" s="54" t="s">
        <v>75</v>
      </c>
      <c r="D48" s="55">
        <f t="shared" si="8"/>
        <v>560000</v>
      </c>
      <c r="E48" s="56"/>
      <c r="F48" s="55">
        <f t="shared" si="9"/>
        <v>560000</v>
      </c>
      <c r="G48" s="51">
        <v>560000</v>
      </c>
      <c r="H48" s="22"/>
      <c r="I48" s="42">
        <f t="shared" si="10"/>
        <v>0</v>
      </c>
      <c r="J48" s="72">
        <f t="shared" si="14"/>
        <v>0</v>
      </c>
      <c r="L48" s="65">
        <f t="shared" si="11"/>
        <v>-448000</v>
      </c>
      <c r="M48" s="73"/>
      <c r="N48" s="73"/>
      <c r="O48" s="73"/>
      <c r="P48" s="73"/>
      <c r="Q48" s="73"/>
      <c r="R48" s="73"/>
      <c r="S48" s="73">
        <v>56000</v>
      </c>
      <c r="T48" s="79">
        <v>392000</v>
      </c>
      <c r="U48" s="73"/>
      <c r="V48" s="73">
        <v>112000</v>
      </c>
      <c r="W48" s="73"/>
      <c r="X48" s="73"/>
      <c r="Y48" s="22">
        <f t="shared" si="12"/>
        <v>560000</v>
      </c>
      <c r="Z48" s="68">
        <f t="shared" si="13"/>
        <v>0</v>
      </c>
    </row>
    <row r="49" spans="1:26" ht="26.25" customHeight="1">
      <c r="A49" s="1"/>
      <c r="B49" s="20"/>
      <c r="C49" s="54" t="s">
        <v>76</v>
      </c>
      <c r="D49" s="55">
        <f t="shared" si="8"/>
        <v>1534000</v>
      </c>
      <c r="E49" s="56"/>
      <c r="F49" s="55">
        <f t="shared" si="9"/>
        <v>1534000</v>
      </c>
      <c r="G49" s="51">
        <v>1534000</v>
      </c>
      <c r="H49" s="24">
        <f>21450.2+1000000</f>
        <v>1021450.2</v>
      </c>
      <c r="I49" s="41">
        <f t="shared" si="10"/>
        <v>66.5873663624511</v>
      </c>
      <c r="J49" s="72">
        <f t="shared" si="14"/>
        <v>83.50639306736429</v>
      </c>
      <c r="L49" s="65">
        <f t="shared" si="11"/>
        <v>-201749.80000000005</v>
      </c>
      <c r="M49" s="73"/>
      <c r="N49" s="73"/>
      <c r="O49" s="73"/>
      <c r="P49" s="73"/>
      <c r="Q49" s="73"/>
      <c r="R49" s="73"/>
      <c r="S49" s="73">
        <v>153400</v>
      </c>
      <c r="T49" s="79">
        <f>1073800-4000</f>
        <v>1069800</v>
      </c>
      <c r="U49" s="73"/>
      <c r="V49" s="73">
        <f>306800+4000</f>
        <v>310800</v>
      </c>
      <c r="W49" s="73"/>
      <c r="X49" s="73"/>
      <c r="Y49" s="22">
        <f t="shared" si="12"/>
        <v>1534000</v>
      </c>
      <c r="Z49" s="68">
        <f t="shared" si="13"/>
        <v>0</v>
      </c>
    </row>
    <row r="50" spans="1:26" ht="26.25" customHeight="1">
      <c r="A50" s="1"/>
      <c r="B50" s="20"/>
      <c r="C50" s="54" t="s">
        <v>77</v>
      </c>
      <c r="D50" s="55">
        <f t="shared" si="8"/>
        <v>100000</v>
      </c>
      <c r="E50" s="56"/>
      <c r="F50" s="55">
        <f t="shared" si="9"/>
        <v>100000</v>
      </c>
      <c r="G50" s="51">
        <v>100000</v>
      </c>
      <c r="H50" s="22"/>
      <c r="I50" s="42">
        <f t="shared" si="10"/>
        <v>0</v>
      </c>
      <c r="J50" s="72">
        <f t="shared" si="14"/>
        <v>0</v>
      </c>
      <c r="L50" s="65">
        <f t="shared" si="11"/>
        <v>-80000</v>
      </c>
      <c r="M50" s="73"/>
      <c r="N50" s="73"/>
      <c r="O50" s="73"/>
      <c r="P50" s="73"/>
      <c r="Q50" s="73"/>
      <c r="R50" s="73"/>
      <c r="S50" s="73">
        <v>10000</v>
      </c>
      <c r="T50" s="79">
        <v>70000</v>
      </c>
      <c r="U50" s="73"/>
      <c r="V50" s="73">
        <v>20000</v>
      </c>
      <c r="W50" s="73"/>
      <c r="X50" s="73"/>
      <c r="Y50" s="22">
        <f t="shared" si="12"/>
        <v>100000</v>
      </c>
      <c r="Z50" s="68">
        <f t="shared" si="13"/>
        <v>0</v>
      </c>
    </row>
    <row r="51" spans="1:26" ht="26.25" customHeight="1">
      <c r="A51" s="1"/>
      <c r="B51" s="20"/>
      <c r="C51" s="54" t="s">
        <v>78</v>
      </c>
      <c r="D51" s="55">
        <f t="shared" si="8"/>
        <v>225700</v>
      </c>
      <c r="E51" s="56"/>
      <c r="F51" s="55">
        <f t="shared" si="9"/>
        <v>225700</v>
      </c>
      <c r="G51" s="51">
        <v>225700</v>
      </c>
      <c r="H51" s="22"/>
      <c r="I51" s="42">
        <f t="shared" si="10"/>
        <v>0</v>
      </c>
      <c r="J51" s="72">
        <f t="shared" si="14"/>
        <v>0</v>
      </c>
      <c r="L51" s="65">
        <f t="shared" si="11"/>
        <v>-180560</v>
      </c>
      <c r="M51" s="73"/>
      <c r="N51" s="73"/>
      <c r="O51" s="73"/>
      <c r="P51" s="73"/>
      <c r="Q51" s="73"/>
      <c r="R51" s="73"/>
      <c r="S51" s="73">
        <v>22570</v>
      </c>
      <c r="T51" s="79">
        <v>157990</v>
      </c>
      <c r="U51" s="73"/>
      <c r="V51" s="73">
        <v>45140</v>
      </c>
      <c r="W51" s="73"/>
      <c r="X51" s="73"/>
      <c r="Y51" s="22">
        <f t="shared" si="12"/>
        <v>225700</v>
      </c>
      <c r="Z51" s="68">
        <f t="shared" si="13"/>
        <v>0</v>
      </c>
    </row>
    <row r="52" spans="1:26" ht="26.25" customHeight="1" hidden="1">
      <c r="A52" s="1"/>
      <c r="B52" s="20"/>
      <c r="C52" s="54" t="s">
        <v>79</v>
      </c>
      <c r="D52" s="55">
        <f t="shared" si="8"/>
        <v>0</v>
      </c>
      <c r="E52" s="56"/>
      <c r="F52" s="55">
        <f t="shared" si="9"/>
        <v>0</v>
      </c>
      <c r="G52" s="51">
        <f>100000-50000-50000</f>
        <v>0</v>
      </c>
      <c r="H52" s="22"/>
      <c r="I52" s="42" t="e">
        <f t="shared" si="10"/>
        <v>#DIV/0!</v>
      </c>
      <c r="J52" s="72" t="e">
        <f t="shared" si="14"/>
        <v>#DIV/0!</v>
      </c>
      <c r="L52" s="65">
        <f t="shared" si="11"/>
        <v>0</v>
      </c>
      <c r="M52" s="73"/>
      <c r="N52" s="73"/>
      <c r="O52" s="73"/>
      <c r="P52" s="73"/>
      <c r="Q52" s="73"/>
      <c r="R52" s="73"/>
      <c r="S52" s="73">
        <f>5000-5000</f>
        <v>0</v>
      </c>
      <c r="T52" s="79">
        <f>35000-35000</f>
        <v>0</v>
      </c>
      <c r="U52" s="73"/>
      <c r="V52" s="73">
        <f>10000-10000</f>
        <v>0</v>
      </c>
      <c r="W52" s="73"/>
      <c r="X52" s="73"/>
      <c r="Y52" s="22">
        <f t="shared" si="12"/>
        <v>0</v>
      </c>
      <c r="Z52" s="68">
        <f t="shared" si="13"/>
        <v>0</v>
      </c>
    </row>
    <row r="53" spans="1:26" ht="26.25" customHeight="1">
      <c r="A53" s="1"/>
      <c r="B53" s="20"/>
      <c r="C53" s="54" t="s">
        <v>80</v>
      </c>
      <c r="D53" s="55">
        <f t="shared" si="8"/>
        <v>200000</v>
      </c>
      <c r="E53" s="56"/>
      <c r="F53" s="55">
        <f t="shared" si="9"/>
        <v>200000</v>
      </c>
      <c r="G53" s="51">
        <v>200000</v>
      </c>
      <c r="H53" s="22"/>
      <c r="I53" s="42">
        <f t="shared" si="10"/>
        <v>0</v>
      </c>
      <c r="J53" s="72">
        <f t="shared" si="14"/>
        <v>0</v>
      </c>
      <c r="L53" s="65">
        <f t="shared" si="11"/>
        <v>-160000</v>
      </c>
      <c r="M53" s="73"/>
      <c r="N53" s="73"/>
      <c r="O53" s="73"/>
      <c r="P53" s="73"/>
      <c r="Q53" s="73"/>
      <c r="R53" s="73"/>
      <c r="S53" s="73">
        <v>20000</v>
      </c>
      <c r="T53" s="79">
        <v>140000</v>
      </c>
      <c r="U53" s="73"/>
      <c r="V53" s="73">
        <v>40000</v>
      </c>
      <c r="W53" s="73"/>
      <c r="X53" s="73"/>
      <c r="Y53" s="22">
        <f t="shared" si="12"/>
        <v>200000</v>
      </c>
      <c r="Z53" s="68">
        <f t="shared" si="13"/>
        <v>0</v>
      </c>
    </row>
    <row r="54" spans="1:26" ht="41.25" customHeight="1">
      <c r="A54" s="1"/>
      <c r="B54" s="20"/>
      <c r="C54" s="54" t="s">
        <v>148</v>
      </c>
      <c r="D54" s="55">
        <f t="shared" si="8"/>
        <v>350000</v>
      </c>
      <c r="E54" s="56"/>
      <c r="F54" s="55">
        <f t="shared" si="9"/>
        <v>350000</v>
      </c>
      <c r="G54" s="51">
        <v>350000</v>
      </c>
      <c r="H54" s="22"/>
      <c r="I54" s="42">
        <f t="shared" si="10"/>
        <v>0</v>
      </c>
      <c r="J54" s="72">
        <f t="shared" si="14"/>
        <v>0</v>
      </c>
      <c r="L54" s="65">
        <f t="shared" si="11"/>
        <v>-280000</v>
      </c>
      <c r="M54" s="73"/>
      <c r="N54" s="73"/>
      <c r="O54" s="73"/>
      <c r="P54" s="73"/>
      <c r="Q54" s="73"/>
      <c r="R54" s="73"/>
      <c r="S54" s="73">
        <v>35000</v>
      </c>
      <c r="T54" s="79">
        <v>245000</v>
      </c>
      <c r="U54" s="73"/>
      <c r="V54" s="73">
        <v>70000</v>
      </c>
      <c r="W54" s="73"/>
      <c r="X54" s="73"/>
      <c r="Y54" s="22">
        <f t="shared" si="12"/>
        <v>350000</v>
      </c>
      <c r="Z54" s="68">
        <f t="shared" si="13"/>
        <v>0</v>
      </c>
    </row>
    <row r="55" spans="1:26" ht="26.25" customHeight="1">
      <c r="A55" s="1"/>
      <c r="B55" s="20"/>
      <c r="C55" s="54" t="s">
        <v>81</v>
      </c>
      <c r="D55" s="55">
        <f t="shared" si="8"/>
        <v>100000</v>
      </c>
      <c r="E55" s="56"/>
      <c r="F55" s="55">
        <f t="shared" si="9"/>
        <v>100000</v>
      </c>
      <c r="G55" s="51">
        <v>100000</v>
      </c>
      <c r="H55" s="24">
        <f>14000</f>
        <v>14000</v>
      </c>
      <c r="I55" s="41">
        <f t="shared" si="10"/>
        <v>14.000000000000002</v>
      </c>
      <c r="J55" s="72">
        <f t="shared" si="14"/>
        <v>17.5</v>
      </c>
      <c r="L55" s="65">
        <f t="shared" si="11"/>
        <v>-66000</v>
      </c>
      <c r="M55" s="73"/>
      <c r="N55" s="73"/>
      <c r="O55" s="73"/>
      <c r="P55" s="73"/>
      <c r="Q55" s="73"/>
      <c r="R55" s="73"/>
      <c r="S55" s="73">
        <v>10000</v>
      </c>
      <c r="T55" s="79">
        <v>70000</v>
      </c>
      <c r="U55" s="73"/>
      <c r="V55" s="73">
        <v>20000</v>
      </c>
      <c r="W55" s="73"/>
      <c r="X55" s="73"/>
      <c r="Y55" s="22">
        <f t="shared" si="12"/>
        <v>100000</v>
      </c>
      <c r="Z55" s="68">
        <f t="shared" si="13"/>
        <v>0</v>
      </c>
    </row>
    <row r="56" spans="1:26" ht="26.25" customHeight="1" hidden="1">
      <c r="A56" s="1"/>
      <c r="B56" s="20"/>
      <c r="C56" s="54" t="s">
        <v>82</v>
      </c>
      <c r="D56" s="55">
        <f t="shared" si="8"/>
        <v>0</v>
      </c>
      <c r="E56" s="56"/>
      <c r="F56" s="55">
        <f t="shared" si="9"/>
        <v>0</v>
      </c>
      <c r="G56" s="51">
        <f>100000+50000-50000-100000</f>
        <v>0</v>
      </c>
      <c r="H56" s="22"/>
      <c r="I56" s="42" t="e">
        <f t="shared" si="10"/>
        <v>#DIV/0!</v>
      </c>
      <c r="J56" s="72" t="e">
        <f t="shared" si="14"/>
        <v>#DIV/0!</v>
      </c>
      <c r="L56" s="65">
        <f t="shared" si="11"/>
        <v>0</v>
      </c>
      <c r="M56" s="73"/>
      <c r="N56" s="73"/>
      <c r="O56" s="73"/>
      <c r="P56" s="73"/>
      <c r="Q56" s="73"/>
      <c r="R56" s="73"/>
      <c r="S56" s="73">
        <f>10000-10000</f>
        <v>0</v>
      </c>
      <c r="T56" s="79">
        <f>70000-70000</f>
        <v>0</v>
      </c>
      <c r="U56" s="73"/>
      <c r="V56" s="73">
        <f>20000-20000</f>
        <v>0</v>
      </c>
      <c r="W56" s="73"/>
      <c r="X56" s="73"/>
      <c r="Y56" s="22">
        <f t="shared" si="12"/>
        <v>0</v>
      </c>
      <c r="Z56" s="68">
        <f t="shared" si="13"/>
        <v>0</v>
      </c>
    </row>
    <row r="57" spans="1:26" ht="26.25" customHeight="1">
      <c r="A57" s="1"/>
      <c r="B57" s="20"/>
      <c r="C57" s="54" t="s">
        <v>83</v>
      </c>
      <c r="D57" s="55">
        <f t="shared" si="8"/>
        <v>200000</v>
      </c>
      <c r="E57" s="56"/>
      <c r="F57" s="55">
        <f t="shared" si="9"/>
        <v>200000</v>
      </c>
      <c r="G57" s="51">
        <v>200000</v>
      </c>
      <c r="H57" s="22"/>
      <c r="I57" s="42">
        <f t="shared" si="10"/>
        <v>0</v>
      </c>
      <c r="J57" s="72">
        <f t="shared" si="14"/>
        <v>0</v>
      </c>
      <c r="L57" s="65">
        <f t="shared" si="11"/>
        <v>-160000</v>
      </c>
      <c r="M57" s="73"/>
      <c r="N57" s="73"/>
      <c r="O57" s="73"/>
      <c r="P57" s="73"/>
      <c r="Q57" s="73"/>
      <c r="R57" s="73"/>
      <c r="S57" s="73">
        <v>20000</v>
      </c>
      <c r="T57" s="79">
        <v>140000</v>
      </c>
      <c r="U57" s="73"/>
      <c r="V57" s="73">
        <v>40000</v>
      </c>
      <c r="W57" s="73"/>
      <c r="X57" s="73"/>
      <c r="Y57" s="22">
        <f t="shared" si="12"/>
        <v>200000</v>
      </c>
      <c r="Z57" s="68">
        <f t="shared" si="13"/>
        <v>0</v>
      </c>
    </row>
    <row r="58" spans="1:26" ht="26.25" customHeight="1" hidden="1">
      <c r="A58" s="1"/>
      <c r="B58" s="20"/>
      <c r="C58" s="54" t="s">
        <v>84</v>
      </c>
      <c r="D58" s="55">
        <f t="shared" si="8"/>
        <v>0</v>
      </c>
      <c r="E58" s="56"/>
      <c r="F58" s="55">
        <f t="shared" si="9"/>
        <v>0</v>
      </c>
      <c r="G58" s="51">
        <f>100000-100000</f>
        <v>0</v>
      </c>
      <c r="H58" s="22"/>
      <c r="I58" s="42" t="e">
        <f t="shared" si="10"/>
        <v>#DIV/0!</v>
      </c>
      <c r="J58" s="72" t="e">
        <f t="shared" si="14"/>
        <v>#DIV/0!</v>
      </c>
      <c r="L58" s="65">
        <f t="shared" si="11"/>
        <v>0</v>
      </c>
      <c r="M58" s="73"/>
      <c r="N58" s="73"/>
      <c r="O58" s="73"/>
      <c r="P58" s="73"/>
      <c r="Q58" s="73"/>
      <c r="R58" s="73"/>
      <c r="S58" s="73">
        <f>10000-10000</f>
        <v>0</v>
      </c>
      <c r="T58" s="79">
        <f>70000-70000</f>
        <v>0</v>
      </c>
      <c r="U58" s="73"/>
      <c r="V58" s="73">
        <f>20000-20000</f>
        <v>0</v>
      </c>
      <c r="W58" s="73"/>
      <c r="X58" s="73"/>
      <c r="Y58" s="22">
        <f t="shared" si="12"/>
        <v>0</v>
      </c>
      <c r="Z58" s="68">
        <f t="shared" si="13"/>
        <v>0</v>
      </c>
    </row>
    <row r="59" spans="1:26" ht="26.25" customHeight="1">
      <c r="A59" s="1"/>
      <c r="B59" s="20"/>
      <c r="C59" s="54" t="s">
        <v>85</v>
      </c>
      <c r="D59" s="55">
        <f t="shared" si="8"/>
        <v>200000</v>
      </c>
      <c r="E59" s="56"/>
      <c r="F59" s="55">
        <f t="shared" si="9"/>
        <v>200000</v>
      </c>
      <c r="G59" s="51">
        <f>100000+100000</f>
        <v>200000</v>
      </c>
      <c r="H59" s="22"/>
      <c r="I59" s="42">
        <f t="shared" si="10"/>
        <v>0</v>
      </c>
      <c r="J59" s="72">
        <f t="shared" si="14"/>
        <v>0</v>
      </c>
      <c r="L59" s="65">
        <f t="shared" si="11"/>
        <v>-180000</v>
      </c>
      <c r="M59" s="73"/>
      <c r="N59" s="73"/>
      <c r="O59" s="73"/>
      <c r="P59" s="73"/>
      <c r="Q59" s="73"/>
      <c r="R59" s="73"/>
      <c r="S59" s="73">
        <v>10000</v>
      </c>
      <c r="T59" s="79">
        <f>70000+100000</f>
        <v>170000</v>
      </c>
      <c r="U59" s="73"/>
      <c r="V59" s="73">
        <v>20000</v>
      </c>
      <c r="W59" s="73"/>
      <c r="X59" s="73"/>
      <c r="Y59" s="22">
        <f t="shared" si="12"/>
        <v>200000</v>
      </c>
      <c r="Z59" s="68">
        <f t="shared" si="13"/>
        <v>0</v>
      </c>
    </row>
    <row r="60" spans="1:26" ht="26.25" customHeight="1">
      <c r="A60" s="1"/>
      <c r="B60" s="20"/>
      <c r="C60" s="54" t="s">
        <v>167</v>
      </c>
      <c r="D60" s="55">
        <f t="shared" si="8"/>
        <v>66000</v>
      </c>
      <c r="E60" s="56"/>
      <c r="F60" s="55">
        <f>G60</f>
        <v>66000</v>
      </c>
      <c r="G60" s="51">
        <f>66000</f>
        <v>66000</v>
      </c>
      <c r="H60" s="22"/>
      <c r="I60" s="42">
        <f t="shared" si="10"/>
        <v>0</v>
      </c>
      <c r="J60" s="72">
        <f t="shared" si="14"/>
        <v>0</v>
      </c>
      <c r="L60" s="65">
        <f t="shared" si="11"/>
        <v>-52800</v>
      </c>
      <c r="M60" s="73"/>
      <c r="N60" s="73"/>
      <c r="O60" s="73"/>
      <c r="P60" s="73">
        <f>6600</f>
        <v>6600</v>
      </c>
      <c r="Q60" s="73"/>
      <c r="R60" s="73"/>
      <c r="S60" s="73"/>
      <c r="T60" s="79"/>
      <c r="U60" s="73">
        <f>46200</f>
        <v>46200</v>
      </c>
      <c r="V60" s="73"/>
      <c r="W60" s="73">
        <f>13200</f>
        <v>13200</v>
      </c>
      <c r="X60" s="73"/>
      <c r="Y60" s="22">
        <f t="shared" si="12"/>
        <v>66000</v>
      </c>
      <c r="Z60" s="68">
        <f t="shared" si="13"/>
        <v>0</v>
      </c>
    </row>
    <row r="61" spans="1:26" ht="43.5" customHeight="1" hidden="1">
      <c r="A61" s="1"/>
      <c r="B61" s="20"/>
      <c r="C61" s="54" t="s">
        <v>86</v>
      </c>
      <c r="D61" s="55">
        <f t="shared" si="8"/>
        <v>0</v>
      </c>
      <c r="E61" s="56"/>
      <c r="F61" s="55">
        <f t="shared" si="9"/>
        <v>0</v>
      </c>
      <c r="G61" s="51">
        <f>100000-100000</f>
        <v>0</v>
      </c>
      <c r="H61" s="22"/>
      <c r="I61" s="42" t="e">
        <f t="shared" si="10"/>
        <v>#DIV/0!</v>
      </c>
      <c r="J61" s="72" t="e">
        <f t="shared" si="14"/>
        <v>#DIV/0!</v>
      </c>
      <c r="L61" s="65">
        <f t="shared" si="11"/>
        <v>0</v>
      </c>
      <c r="M61" s="73"/>
      <c r="N61" s="73"/>
      <c r="O61" s="73"/>
      <c r="P61" s="73"/>
      <c r="Q61" s="73"/>
      <c r="R61" s="73"/>
      <c r="S61" s="73">
        <f>10000-10000</f>
        <v>0</v>
      </c>
      <c r="T61" s="79">
        <f>70000-70000</f>
        <v>0</v>
      </c>
      <c r="U61" s="73"/>
      <c r="V61" s="73">
        <f>20000-20000</f>
        <v>0</v>
      </c>
      <c r="W61" s="73"/>
      <c r="X61" s="73"/>
      <c r="Y61" s="22">
        <f t="shared" si="12"/>
        <v>0</v>
      </c>
      <c r="Z61" s="68">
        <f t="shared" si="13"/>
        <v>0</v>
      </c>
    </row>
    <row r="62" spans="1:26" ht="43.5" customHeight="1">
      <c r="A62" s="1"/>
      <c r="B62" s="20"/>
      <c r="C62" s="54" t="s">
        <v>87</v>
      </c>
      <c r="D62" s="55">
        <f t="shared" si="8"/>
        <v>460000</v>
      </c>
      <c r="E62" s="56"/>
      <c r="F62" s="55">
        <f t="shared" si="9"/>
        <v>460000</v>
      </c>
      <c r="G62" s="51">
        <v>460000</v>
      </c>
      <c r="H62" s="22"/>
      <c r="I62" s="42">
        <f t="shared" si="10"/>
        <v>0</v>
      </c>
      <c r="J62" s="72">
        <f t="shared" si="14"/>
        <v>0</v>
      </c>
      <c r="L62" s="65">
        <f t="shared" si="11"/>
        <v>-32000</v>
      </c>
      <c r="M62" s="73"/>
      <c r="N62" s="73"/>
      <c r="O62" s="73"/>
      <c r="P62" s="73"/>
      <c r="Q62" s="73"/>
      <c r="R62" s="73"/>
      <c r="S62" s="73">
        <v>46000</v>
      </c>
      <c r="T62" s="79">
        <v>322000</v>
      </c>
      <c r="U62" s="73">
        <f>-336000</f>
        <v>-336000</v>
      </c>
      <c r="V62" s="73">
        <f>92000+153000</f>
        <v>245000</v>
      </c>
      <c r="W62" s="73"/>
      <c r="X62" s="73">
        <f>183000</f>
        <v>183000</v>
      </c>
      <c r="Y62" s="22">
        <f t="shared" si="12"/>
        <v>460000</v>
      </c>
      <c r="Z62" s="68">
        <f t="shared" si="13"/>
        <v>0</v>
      </c>
    </row>
    <row r="63" spans="1:26" ht="58.5" customHeight="1">
      <c r="A63" s="1"/>
      <c r="B63" s="20"/>
      <c r="C63" s="54" t="s">
        <v>161</v>
      </c>
      <c r="D63" s="55">
        <f t="shared" si="8"/>
        <v>150000</v>
      </c>
      <c r="E63" s="56"/>
      <c r="F63" s="55">
        <f t="shared" si="9"/>
        <v>150000</v>
      </c>
      <c r="G63" s="51">
        <v>150000</v>
      </c>
      <c r="H63" s="22"/>
      <c r="I63" s="42">
        <f t="shared" si="10"/>
        <v>0</v>
      </c>
      <c r="J63" s="72">
        <f t="shared" si="14"/>
        <v>0</v>
      </c>
      <c r="L63" s="65">
        <f t="shared" si="11"/>
        <v>-150000</v>
      </c>
      <c r="M63" s="73"/>
      <c r="N63" s="73"/>
      <c r="O63" s="73"/>
      <c r="P63" s="73"/>
      <c r="Q63" s="73"/>
      <c r="R63" s="73"/>
      <c r="S63" s="73">
        <v>150000</v>
      </c>
      <c r="T63" s="79"/>
      <c r="U63" s="73"/>
      <c r="V63" s="73"/>
      <c r="W63" s="73"/>
      <c r="X63" s="73"/>
      <c r="Y63" s="22">
        <f t="shared" si="12"/>
        <v>150000</v>
      </c>
      <c r="Z63" s="68">
        <f t="shared" si="13"/>
        <v>0</v>
      </c>
    </row>
    <row r="64" spans="1:26" ht="59.25" customHeight="1">
      <c r="A64" s="1"/>
      <c r="B64" s="20"/>
      <c r="C64" s="54" t="s">
        <v>162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2"/>
      <c r="I64" s="42">
        <f t="shared" si="10"/>
        <v>0</v>
      </c>
      <c r="J64" s="72">
        <f t="shared" si="14"/>
        <v>0</v>
      </c>
      <c r="L64" s="65">
        <f t="shared" si="11"/>
        <v>-150000</v>
      </c>
      <c r="M64" s="73"/>
      <c r="N64" s="73"/>
      <c r="O64" s="73"/>
      <c r="P64" s="73"/>
      <c r="Q64" s="73"/>
      <c r="R64" s="73"/>
      <c r="S64" s="73">
        <v>150000</v>
      </c>
      <c r="T64" s="79"/>
      <c r="U64" s="73"/>
      <c r="V64" s="73"/>
      <c r="W64" s="73"/>
      <c r="X64" s="73"/>
      <c r="Y64" s="22">
        <f t="shared" si="12"/>
        <v>150000</v>
      </c>
      <c r="Z64" s="68">
        <f t="shared" si="13"/>
        <v>0</v>
      </c>
    </row>
    <row r="65" spans="1:26" ht="21" customHeight="1" hidden="1">
      <c r="A65" s="1"/>
      <c r="B65" s="20"/>
      <c r="C65" s="54" t="s">
        <v>163</v>
      </c>
      <c r="D65" s="55">
        <f t="shared" si="8"/>
        <v>0</v>
      </c>
      <c r="E65" s="56"/>
      <c r="F65" s="55">
        <f t="shared" si="9"/>
        <v>0</v>
      </c>
      <c r="G65" s="51">
        <f>40000-40000</f>
        <v>0</v>
      </c>
      <c r="H65" s="22"/>
      <c r="I65" s="42" t="e">
        <f t="shared" si="10"/>
        <v>#DIV/0!</v>
      </c>
      <c r="J65" s="72" t="e">
        <f t="shared" si="14"/>
        <v>#DIV/0!</v>
      </c>
      <c r="L65" s="65">
        <f t="shared" si="11"/>
        <v>0</v>
      </c>
      <c r="M65" s="73"/>
      <c r="N65" s="73"/>
      <c r="O65" s="73"/>
      <c r="P65" s="73">
        <f>4000</f>
        <v>4000</v>
      </c>
      <c r="Q65" s="73"/>
      <c r="R65" s="73"/>
      <c r="S65" s="73"/>
      <c r="T65" s="79">
        <f>-4000</f>
        <v>-4000</v>
      </c>
      <c r="U65" s="73"/>
      <c r="V65" s="73">
        <f>28000-28000</f>
        <v>0</v>
      </c>
      <c r="W65" s="73"/>
      <c r="X65" s="73">
        <f>8000-8000</f>
        <v>0</v>
      </c>
      <c r="Y65" s="22">
        <f t="shared" si="12"/>
        <v>0</v>
      </c>
      <c r="Z65" s="68">
        <f t="shared" si="13"/>
        <v>0</v>
      </c>
    </row>
    <row r="66" spans="1:26" ht="21" customHeight="1">
      <c r="A66" s="1"/>
      <c r="B66" s="20"/>
      <c r="C66" s="54" t="s">
        <v>168</v>
      </c>
      <c r="D66" s="55">
        <f t="shared" si="8"/>
        <v>90000</v>
      </c>
      <c r="E66" s="56"/>
      <c r="F66" s="55">
        <f t="shared" si="9"/>
        <v>90000</v>
      </c>
      <c r="G66" s="51">
        <f>50000+40000</f>
        <v>90000</v>
      </c>
      <c r="H66" s="22"/>
      <c r="I66" s="42">
        <f t="shared" si="10"/>
        <v>0</v>
      </c>
      <c r="J66" s="72">
        <f t="shared" si="14"/>
        <v>0</v>
      </c>
      <c r="L66" s="65">
        <f t="shared" si="11"/>
        <v>-54000</v>
      </c>
      <c r="M66" s="73"/>
      <c r="N66" s="73"/>
      <c r="O66" s="73"/>
      <c r="P66" s="73"/>
      <c r="Q66" s="73"/>
      <c r="R66" s="73"/>
      <c r="S66" s="73"/>
      <c r="T66" s="79">
        <f>50000+4000</f>
        <v>54000</v>
      </c>
      <c r="U66" s="73"/>
      <c r="V66" s="73">
        <f>28000</f>
        <v>28000</v>
      </c>
      <c r="W66" s="73"/>
      <c r="X66" s="73">
        <f>8000</f>
        <v>8000</v>
      </c>
      <c r="Y66" s="22">
        <f t="shared" si="12"/>
        <v>90000</v>
      </c>
      <c r="Z66" s="68">
        <f t="shared" si="13"/>
        <v>0</v>
      </c>
    </row>
    <row r="67" spans="1:26" ht="26.25" customHeight="1">
      <c r="A67" s="1"/>
      <c r="B67" s="20"/>
      <c r="C67" s="54" t="s">
        <v>169</v>
      </c>
      <c r="D67" s="55">
        <f t="shared" si="8"/>
        <v>294000</v>
      </c>
      <c r="E67" s="56"/>
      <c r="F67" s="55">
        <f t="shared" si="9"/>
        <v>294000</v>
      </c>
      <c r="G67" s="51">
        <f>294000</f>
        <v>294000</v>
      </c>
      <c r="H67" s="22"/>
      <c r="I67" s="42"/>
      <c r="J67" s="72">
        <f t="shared" si="14"/>
        <v>0</v>
      </c>
      <c r="L67" s="65">
        <f t="shared" si="11"/>
        <v>-30000</v>
      </c>
      <c r="M67" s="73"/>
      <c r="N67" s="73"/>
      <c r="O67" s="73"/>
      <c r="P67" s="73"/>
      <c r="Q67" s="73"/>
      <c r="R67" s="73"/>
      <c r="S67" s="73"/>
      <c r="T67" s="79">
        <f>30000</f>
        <v>30000</v>
      </c>
      <c r="U67" s="73"/>
      <c r="V67" s="73">
        <f>249054.66+14945.34</f>
        <v>264000</v>
      </c>
      <c r="W67" s="73">
        <f>14945.34-14945.13</f>
        <v>0.21000000000094587</v>
      </c>
      <c r="X67" s="73"/>
      <c r="Y67" s="22">
        <f t="shared" si="12"/>
        <v>294000.21</v>
      </c>
      <c r="Z67" s="68">
        <f t="shared" si="13"/>
        <v>0.21000000002095476</v>
      </c>
    </row>
    <row r="68" spans="1:26" ht="26.25" customHeight="1">
      <c r="A68" s="1"/>
      <c r="B68" s="20"/>
      <c r="C68" s="54" t="s">
        <v>149</v>
      </c>
      <c r="D68" s="55">
        <f t="shared" si="8"/>
        <v>527000</v>
      </c>
      <c r="E68" s="56"/>
      <c r="F68" s="55">
        <f t="shared" si="9"/>
        <v>527000</v>
      </c>
      <c r="G68" s="51">
        <f>232000+295000</f>
        <v>527000</v>
      </c>
      <c r="H68" s="51">
        <f>16655.74+8344.26</f>
        <v>25000</v>
      </c>
      <c r="I68" s="41">
        <f t="shared" si="10"/>
        <v>4.743833017077799</v>
      </c>
      <c r="J68" s="72">
        <f t="shared" si="14"/>
        <v>4.743833017077799</v>
      </c>
      <c r="L68" s="65">
        <f t="shared" si="11"/>
        <v>-502000</v>
      </c>
      <c r="M68" s="73"/>
      <c r="N68" s="73"/>
      <c r="O68" s="73"/>
      <c r="P68" s="73"/>
      <c r="Q68" s="73"/>
      <c r="R68" s="73">
        <f>34800</f>
        <v>34800</v>
      </c>
      <c r="S68" s="73">
        <f>197200</f>
        <v>197200</v>
      </c>
      <c r="T68" s="79">
        <f>40471.53</f>
        <v>40471.53</v>
      </c>
      <c r="U68" s="73">
        <f>254528.47</f>
        <v>254528.47</v>
      </c>
      <c r="V68" s="73">
        <f>254528.47-254528.47</f>
        <v>0</v>
      </c>
      <c r="W68" s="73"/>
      <c r="X68" s="73">
        <f>232000-232000</f>
        <v>0</v>
      </c>
      <c r="Y68" s="22">
        <f t="shared" si="12"/>
        <v>527000</v>
      </c>
      <c r="Z68" s="68">
        <f t="shared" si="13"/>
        <v>0</v>
      </c>
    </row>
    <row r="69" spans="1:26" ht="26.25" customHeight="1">
      <c r="A69" s="1"/>
      <c r="B69" s="20"/>
      <c r="C69" s="54" t="s">
        <v>88</v>
      </c>
      <c r="D69" s="55">
        <f t="shared" si="8"/>
        <v>220000</v>
      </c>
      <c r="E69" s="56"/>
      <c r="F69" s="55">
        <f t="shared" si="9"/>
        <v>220000</v>
      </c>
      <c r="G69" s="51">
        <v>220000</v>
      </c>
      <c r="H69" s="22"/>
      <c r="I69" s="42">
        <f t="shared" si="10"/>
        <v>0</v>
      </c>
      <c r="J69" s="72">
        <f t="shared" si="14"/>
        <v>0</v>
      </c>
      <c r="L69" s="65">
        <f t="shared" si="11"/>
        <v>-220000</v>
      </c>
      <c r="M69" s="73"/>
      <c r="N69" s="73"/>
      <c r="O69" s="73">
        <v>22000</v>
      </c>
      <c r="P69" s="73"/>
      <c r="Q69" s="73">
        <f>-22000</f>
        <v>-22000</v>
      </c>
      <c r="R69" s="73">
        <f>33000</f>
        <v>33000</v>
      </c>
      <c r="S69" s="73">
        <f>187000</f>
        <v>187000</v>
      </c>
      <c r="T69" s="79"/>
      <c r="U69" s="73"/>
      <c r="V69" s="73">
        <f>99000-99000</f>
        <v>0</v>
      </c>
      <c r="W69" s="73">
        <f>22000-22000</f>
        <v>0</v>
      </c>
      <c r="X69" s="73">
        <f>99000-99000</f>
        <v>0</v>
      </c>
      <c r="Y69" s="22">
        <f t="shared" si="12"/>
        <v>220000</v>
      </c>
      <c r="Z69" s="68">
        <f t="shared" si="13"/>
        <v>0</v>
      </c>
    </row>
    <row r="70" spans="1:26" ht="26.25" customHeight="1">
      <c r="A70" s="1"/>
      <c r="B70" s="20"/>
      <c r="C70" s="54" t="s">
        <v>89</v>
      </c>
      <c r="D70" s="55">
        <f t="shared" si="8"/>
        <v>127000</v>
      </c>
      <c r="E70" s="56"/>
      <c r="F70" s="55">
        <f t="shared" si="9"/>
        <v>127000</v>
      </c>
      <c r="G70" s="51">
        <v>127000</v>
      </c>
      <c r="H70" s="22"/>
      <c r="I70" s="42">
        <f t="shared" si="10"/>
        <v>0</v>
      </c>
      <c r="J70" s="72">
        <f t="shared" si="14"/>
        <v>0</v>
      </c>
      <c r="L70" s="65">
        <f t="shared" si="11"/>
        <v>-127000</v>
      </c>
      <c r="M70" s="73"/>
      <c r="N70" s="73"/>
      <c r="O70" s="73">
        <v>12700</v>
      </c>
      <c r="P70" s="73"/>
      <c r="Q70" s="73">
        <v>-12700</v>
      </c>
      <c r="R70" s="73">
        <f>19050</f>
        <v>19050</v>
      </c>
      <c r="S70" s="73">
        <f>107950</f>
        <v>107950</v>
      </c>
      <c r="T70" s="79"/>
      <c r="U70" s="73"/>
      <c r="V70" s="73">
        <f>57150-57150</f>
        <v>0</v>
      </c>
      <c r="W70" s="73">
        <f>12700-12700</f>
        <v>0</v>
      </c>
      <c r="X70" s="73">
        <f>57150-57150</f>
        <v>0</v>
      </c>
      <c r="Y70" s="22">
        <f t="shared" si="12"/>
        <v>127000</v>
      </c>
      <c r="Z70" s="68">
        <f t="shared" si="13"/>
        <v>0</v>
      </c>
    </row>
    <row r="71" spans="1:26" ht="43.5" customHeight="1">
      <c r="A71" s="1"/>
      <c r="B71" s="20"/>
      <c r="C71" s="54" t="s">
        <v>90</v>
      </c>
      <c r="D71" s="55">
        <f t="shared" si="8"/>
        <v>240000</v>
      </c>
      <c r="E71" s="56"/>
      <c r="F71" s="55">
        <f t="shared" si="9"/>
        <v>240000</v>
      </c>
      <c r="G71" s="51">
        <v>240000</v>
      </c>
      <c r="H71" s="22"/>
      <c r="I71" s="42">
        <f t="shared" si="10"/>
        <v>0</v>
      </c>
      <c r="J71" s="72">
        <f t="shared" si="14"/>
        <v>0</v>
      </c>
      <c r="L71" s="65">
        <f t="shared" si="11"/>
        <v>-240000</v>
      </c>
      <c r="M71" s="73"/>
      <c r="N71" s="73"/>
      <c r="O71" s="73">
        <v>24000</v>
      </c>
      <c r="P71" s="73"/>
      <c r="Q71" s="73">
        <v>-24000</v>
      </c>
      <c r="R71" s="73">
        <f>36000</f>
        <v>36000</v>
      </c>
      <c r="S71" s="73">
        <f>204000</f>
        <v>204000</v>
      </c>
      <c r="T71" s="79"/>
      <c r="U71" s="73"/>
      <c r="V71" s="73">
        <f>108000-108000</f>
        <v>0</v>
      </c>
      <c r="W71" s="73">
        <f>24000-24000</f>
        <v>0</v>
      </c>
      <c r="X71" s="73">
        <f>108000-108000</f>
        <v>0</v>
      </c>
      <c r="Y71" s="22">
        <f t="shared" si="12"/>
        <v>240000</v>
      </c>
      <c r="Z71" s="68">
        <f t="shared" si="13"/>
        <v>0</v>
      </c>
    </row>
    <row r="72" spans="1:26" ht="26.25" customHeight="1">
      <c r="A72" s="1"/>
      <c r="B72" s="20"/>
      <c r="C72" s="54" t="s">
        <v>150</v>
      </c>
      <c r="D72" s="55">
        <f t="shared" si="8"/>
        <v>1650000</v>
      </c>
      <c r="E72" s="56"/>
      <c r="F72" s="55">
        <f t="shared" si="9"/>
        <v>1650000</v>
      </c>
      <c r="G72" s="51">
        <v>1650000</v>
      </c>
      <c r="H72" s="51">
        <f>68813.21+980000</f>
        <v>1048813.21</v>
      </c>
      <c r="I72" s="41">
        <f t="shared" si="10"/>
        <v>63.56443696969697</v>
      </c>
      <c r="J72" s="72">
        <f t="shared" si="14"/>
        <v>99.88697238095237</v>
      </c>
      <c r="L72" s="65">
        <f t="shared" si="11"/>
        <v>-1186.7900000000373</v>
      </c>
      <c r="M72" s="73"/>
      <c r="N72" s="73"/>
      <c r="O72" s="73">
        <v>1320000</v>
      </c>
      <c r="P72" s="73">
        <f>-1201000</f>
        <v>-1201000</v>
      </c>
      <c r="Q72" s="73"/>
      <c r="R72" s="73">
        <f>330000+1201000-600000</f>
        <v>931000</v>
      </c>
      <c r="S72" s="73"/>
      <c r="T72" s="79">
        <f>900000-900000</f>
        <v>0</v>
      </c>
      <c r="U72" s="73"/>
      <c r="V72" s="73"/>
      <c r="W72" s="73">
        <f>301000-301000</f>
        <v>0</v>
      </c>
      <c r="X72" s="73">
        <f>600000</f>
        <v>600000</v>
      </c>
      <c r="Y72" s="22">
        <f t="shared" si="12"/>
        <v>1650000</v>
      </c>
      <c r="Z72" s="68">
        <f t="shared" si="13"/>
        <v>0</v>
      </c>
    </row>
    <row r="73" spans="1:26" ht="26.25" customHeight="1">
      <c r="A73" s="1"/>
      <c r="B73" s="20"/>
      <c r="C73" s="54" t="s">
        <v>91</v>
      </c>
      <c r="D73" s="55">
        <f t="shared" si="8"/>
        <v>771000</v>
      </c>
      <c r="E73" s="56"/>
      <c r="F73" s="55">
        <f t="shared" si="9"/>
        <v>771000</v>
      </c>
      <c r="G73" s="51">
        <f>480000+291000</f>
        <v>771000</v>
      </c>
      <c r="H73" s="51">
        <f>33131.85+500000</f>
        <v>533131.85</v>
      </c>
      <c r="I73" s="41">
        <f t="shared" si="10"/>
        <v>69.14809987029831</v>
      </c>
      <c r="J73" s="72">
        <f t="shared" si="14"/>
        <v>99.83742509363296</v>
      </c>
      <c r="L73" s="65">
        <f t="shared" si="11"/>
        <v>-868.1500000000233</v>
      </c>
      <c r="M73" s="73"/>
      <c r="N73" s="73"/>
      <c r="O73" s="73">
        <v>48000</v>
      </c>
      <c r="P73" s="73"/>
      <c r="Q73" s="73"/>
      <c r="R73" s="73">
        <f>64800</f>
        <v>64800</v>
      </c>
      <c r="S73" s="73">
        <f>367200</f>
        <v>367200</v>
      </c>
      <c r="T73" s="79"/>
      <c r="U73" s="73">
        <f>54000</f>
        <v>54000</v>
      </c>
      <c r="V73" s="73">
        <f>336000-336000+291000-54000</f>
        <v>237000</v>
      </c>
      <c r="W73" s="73"/>
      <c r="X73" s="73">
        <f>96000-96000</f>
        <v>0</v>
      </c>
      <c r="Y73" s="22">
        <f t="shared" si="12"/>
        <v>771000</v>
      </c>
      <c r="Z73" s="68">
        <f t="shared" si="13"/>
        <v>0</v>
      </c>
    </row>
    <row r="74" spans="1:26" ht="26.25" customHeight="1">
      <c r="A74" s="1"/>
      <c r="B74" s="20"/>
      <c r="C74" s="54" t="s">
        <v>92</v>
      </c>
      <c r="D74" s="55">
        <f t="shared" si="8"/>
        <v>116000</v>
      </c>
      <c r="E74" s="56"/>
      <c r="F74" s="55">
        <f t="shared" si="9"/>
        <v>116000</v>
      </c>
      <c r="G74" s="51">
        <v>116000</v>
      </c>
      <c r="H74" s="24">
        <f>53000</f>
        <v>53000</v>
      </c>
      <c r="I74" s="41">
        <f t="shared" si="10"/>
        <v>45.689655172413794</v>
      </c>
      <c r="J74" s="72">
        <f t="shared" si="14"/>
        <v>100</v>
      </c>
      <c r="L74" s="65">
        <f t="shared" si="11"/>
        <v>0</v>
      </c>
      <c r="M74" s="73"/>
      <c r="N74" s="73"/>
      <c r="O74" s="73">
        <v>11600</v>
      </c>
      <c r="P74" s="73"/>
      <c r="Q74" s="73">
        <f>-11600</f>
        <v>-11600</v>
      </c>
      <c r="R74" s="73"/>
      <c r="S74" s="73"/>
      <c r="T74" s="79"/>
      <c r="U74" s="73">
        <f>53000</f>
        <v>53000</v>
      </c>
      <c r="V74" s="73">
        <f>81200-53000</f>
        <v>28200</v>
      </c>
      <c r="W74" s="73">
        <f>11600</f>
        <v>11600</v>
      </c>
      <c r="X74" s="73">
        <v>23200</v>
      </c>
      <c r="Y74" s="22">
        <f t="shared" si="12"/>
        <v>116000</v>
      </c>
      <c r="Z74" s="68">
        <f t="shared" si="13"/>
        <v>0</v>
      </c>
    </row>
    <row r="75" spans="1:26" ht="26.25" customHeight="1">
      <c r="A75" s="1"/>
      <c r="B75" s="20"/>
      <c r="C75" s="54" t="s">
        <v>93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2"/>
      <c r="I75" s="42">
        <f t="shared" si="10"/>
        <v>0</v>
      </c>
      <c r="J75" s="72">
        <f t="shared" si="14"/>
        <v>0</v>
      </c>
      <c r="L75" s="65">
        <f t="shared" si="11"/>
        <v>-116000</v>
      </c>
      <c r="M75" s="73"/>
      <c r="N75" s="73"/>
      <c r="O75" s="73">
        <v>11600</v>
      </c>
      <c r="P75" s="73"/>
      <c r="Q75" s="73">
        <f>-11600</f>
        <v>-11600</v>
      </c>
      <c r="R75" s="73">
        <f>17400</f>
        <v>17400</v>
      </c>
      <c r="S75" s="73">
        <f>98600</f>
        <v>98600</v>
      </c>
      <c r="T75" s="79"/>
      <c r="U75" s="73"/>
      <c r="V75" s="73">
        <f>52200-52200</f>
        <v>0</v>
      </c>
      <c r="W75" s="73">
        <f>11600-11600</f>
        <v>0</v>
      </c>
      <c r="X75" s="73">
        <f>52200-52200</f>
        <v>0</v>
      </c>
      <c r="Y75" s="22">
        <f t="shared" si="12"/>
        <v>116000</v>
      </c>
      <c r="Z75" s="68">
        <f t="shared" si="13"/>
        <v>0</v>
      </c>
    </row>
    <row r="76" spans="1:26" ht="26.25" customHeight="1">
      <c r="A76" s="1"/>
      <c r="B76" s="20"/>
      <c r="C76" s="54" t="s">
        <v>94</v>
      </c>
      <c r="D76" s="55">
        <f t="shared" si="8"/>
        <v>50000</v>
      </c>
      <c r="E76" s="56"/>
      <c r="F76" s="55">
        <f t="shared" si="9"/>
        <v>50000</v>
      </c>
      <c r="G76" s="51">
        <v>50000</v>
      </c>
      <c r="H76" s="22"/>
      <c r="I76" s="42">
        <f t="shared" si="10"/>
        <v>0</v>
      </c>
      <c r="J76" s="72" t="e">
        <f t="shared" si="14"/>
        <v>#DIV/0!</v>
      </c>
      <c r="L76" s="65">
        <f t="shared" si="11"/>
        <v>0</v>
      </c>
      <c r="M76" s="73"/>
      <c r="N76" s="73"/>
      <c r="O76" s="73">
        <v>5000</v>
      </c>
      <c r="P76" s="73"/>
      <c r="Q76" s="73">
        <f>-5000</f>
        <v>-5000</v>
      </c>
      <c r="R76" s="73"/>
      <c r="S76" s="73"/>
      <c r="T76" s="79"/>
      <c r="U76" s="73"/>
      <c r="V76" s="73">
        <v>35000</v>
      </c>
      <c r="W76" s="73">
        <f>5000</f>
        <v>5000</v>
      </c>
      <c r="X76" s="73">
        <v>10000</v>
      </c>
      <c r="Y76" s="22">
        <f t="shared" si="12"/>
        <v>50000</v>
      </c>
      <c r="Z76" s="68">
        <f t="shared" si="13"/>
        <v>0</v>
      </c>
    </row>
    <row r="77" spans="1:26" ht="26.25" customHeight="1" hidden="1">
      <c r="A77" s="1"/>
      <c r="B77" s="20"/>
      <c r="C77" s="54" t="s">
        <v>95</v>
      </c>
      <c r="D77" s="55">
        <f t="shared" si="8"/>
        <v>0</v>
      </c>
      <c r="E77" s="56"/>
      <c r="F77" s="55">
        <f t="shared" si="9"/>
        <v>0</v>
      </c>
      <c r="G77" s="51">
        <f>116000-116000</f>
        <v>0</v>
      </c>
      <c r="H77" s="22"/>
      <c r="I77" s="42" t="e">
        <f t="shared" si="10"/>
        <v>#DIV/0!</v>
      </c>
      <c r="J77" s="72" t="e">
        <f t="shared" si="14"/>
        <v>#DIV/0!</v>
      </c>
      <c r="L77" s="65">
        <f t="shared" si="11"/>
        <v>0</v>
      </c>
      <c r="M77" s="73"/>
      <c r="N77" s="73"/>
      <c r="O77" s="73">
        <v>11600</v>
      </c>
      <c r="P77" s="73"/>
      <c r="Q77" s="73">
        <v>-11600</v>
      </c>
      <c r="R77" s="73"/>
      <c r="S77" s="73"/>
      <c r="T77" s="79"/>
      <c r="U77" s="73"/>
      <c r="V77" s="73">
        <f>81200-81200</f>
        <v>0</v>
      </c>
      <c r="W77" s="73">
        <f>11600-11600</f>
        <v>0</v>
      </c>
      <c r="X77" s="73">
        <f>23200-23200</f>
        <v>0</v>
      </c>
      <c r="Y77" s="22">
        <f t="shared" si="12"/>
        <v>0</v>
      </c>
      <c r="Z77" s="68">
        <f t="shared" si="13"/>
        <v>0</v>
      </c>
    </row>
    <row r="78" spans="1:26" ht="26.25" customHeight="1">
      <c r="A78" s="1"/>
      <c r="B78" s="20"/>
      <c r="C78" s="54" t="s">
        <v>96</v>
      </c>
      <c r="D78" s="55">
        <f t="shared" si="8"/>
        <v>263000</v>
      </c>
      <c r="E78" s="56"/>
      <c r="F78" s="55">
        <f t="shared" si="9"/>
        <v>263000</v>
      </c>
      <c r="G78" s="51">
        <v>263000</v>
      </c>
      <c r="H78" s="22"/>
      <c r="I78" s="42">
        <f t="shared" si="10"/>
        <v>0</v>
      </c>
      <c r="J78" s="72" t="e">
        <f t="shared" si="14"/>
        <v>#DIV/0!</v>
      </c>
      <c r="L78" s="65">
        <f t="shared" si="11"/>
        <v>0</v>
      </c>
      <c r="M78" s="73"/>
      <c r="N78" s="73"/>
      <c r="O78" s="73">
        <v>26300</v>
      </c>
      <c r="P78" s="73"/>
      <c r="Q78" s="73">
        <v>-26300</v>
      </c>
      <c r="R78" s="73"/>
      <c r="S78" s="73"/>
      <c r="T78" s="79"/>
      <c r="U78" s="73"/>
      <c r="V78" s="73">
        <v>184100</v>
      </c>
      <c r="W78" s="73">
        <f>26300</f>
        <v>26300</v>
      </c>
      <c r="X78" s="73">
        <v>52600</v>
      </c>
      <c r="Y78" s="22">
        <f t="shared" si="12"/>
        <v>263000</v>
      </c>
      <c r="Z78" s="68">
        <f t="shared" si="13"/>
        <v>0</v>
      </c>
    </row>
    <row r="79" spans="1:26" ht="26.25" customHeight="1">
      <c r="A79" s="1"/>
      <c r="B79" s="20"/>
      <c r="C79" s="54" t="s">
        <v>97</v>
      </c>
      <c r="D79" s="55">
        <f t="shared" si="8"/>
        <v>118000</v>
      </c>
      <c r="E79" s="56"/>
      <c r="F79" s="55">
        <f t="shared" si="9"/>
        <v>118000</v>
      </c>
      <c r="G79" s="51">
        <v>118000</v>
      </c>
      <c r="H79" s="22"/>
      <c r="I79" s="42">
        <f t="shared" si="10"/>
        <v>0</v>
      </c>
      <c r="J79" s="72" t="e">
        <f t="shared" si="14"/>
        <v>#DIV/0!</v>
      </c>
      <c r="L79" s="65">
        <f t="shared" si="11"/>
        <v>0</v>
      </c>
      <c r="M79" s="73"/>
      <c r="N79" s="73"/>
      <c r="O79" s="73">
        <v>11800</v>
      </c>
      <c r="P79" s="73"/>
      <c r="Q79" s="73">
        <v>-11800</v>
      </c>
      <c r="R79" s="73"/>
      <c r="S79" s="73"/>
      <c r="T79" s="79"/>
      <c r="U79" s="73"/>
      <c r="V79" s="73">
        <v>82600</v>
      </c>
      <c r="W79" s="73">
        <f>11800</f>
        <v>11800</v>
      </c>
      <c r="X79" s="73">
        <v>23600</v>
      </c>
      <c r="Y79" s="22">
        <f t="shared" si="12"/>
        <v>118000</v>
      </c>
      <c r="Z79" s="68">
        <f t="shared" si="13"/>
        <v>0</v>
      </c>
    </row>
    <row r="80" spans="1:26" ht="26.25" customHeight="1">
      <c r="A80" s="1"/>
      <c r="B80" s="20"/>
      <c r="C80" s="54" t="s">
        <v>98</v>
      </c>
      <c r="D80" s="55">
        <f t="shared" si="8"/>
        <v>232000</v>
      </c>
      <c r="E80" s="56"/>
      <c r="F80" s="55">
        <f t="shared" si="9"/>
        <v>232000</v>
      </c>
      <c r="G80" s="51">
        <v>232000</v>
      </c>
      <c r="H80" s="22"/>
      <c r="I80" s="42">
        <f t="shared" si="10"/>
        <v>0</v>
      </c>
      <c r="J80" s="72">
        <f t="shared" si="14"/>
        <v>0</v>
      </c>
      <c r="L80" s="65">
        <f t="shared" si="11"/>
        <v>-232000</v>
      </c>
      <c r="M80" s="73"/>
      <c r="N80" s="73"/>
      <c r="O80" s="73">
        <v>23200</v>
      </c>
      <c r="P80" s="73"/>
      <c r="Q80" s="73">
        <v>-23200</v>
      </c>
      <c r="R80" s="73">
        <f>34800</f>
        <v>34800</v>
      </c>
      <c r="S80" s="73">
        <f>197200</f>
        <v>197200</v>
      </c>
      <c r="T80" s="79"/>
      <c r="U80" s="73"/>
      <c r="V80" s="73">
        <f>162400-162400</f>
        <v>0</v>
      </c>
      <c r="W80" s="73">
        <f>23200-23200</f>
        <v>0</v>
      </c>
      <c r="X80" s="73">
        <f>46400-46400</f>
        <v>0</v>
      </c>
      <c r="Y80" s="22">
        <f t="shared" si="12"/>
        <v>232000</v>
      </c>
      <c r="Z80" s="68">
        <f t="shared" si="13"/>
        <v>0</v>
      </c>
    </row>
    <row r="81" spans="1:26" ht="26.25" customHeight="1">
      <c r="A81" s="1"/>
      <c r="B81" s="20"/>
      <c r="C81" s="54" t="s">
        <v>99</v>
      </c>
      <c r="D81" s="55">
        <f t="shared" si="8"/>
        <v>140000</v>
      </c>
      <c r="E81" s="56"/>
      <c r="F81" s="55">
        <f t="shared" si="9"/>
        <v>140000</v>
      </c>
      <c r="G81" s="51">
        <f>150000-10000</f>
        <v>140000</v>
      </c>
      <c r="H81" s="24">
        <f>13838.39</f>
        <v>13838.39</v>
      </c>
      <c r="I81" s="41">
        <f t="shared" si="10"/>
        <v>9.884564285714285</v>
      </c>
      <c r="J81" s="72">
        <f t="shared" si="14"/>
        <v>9.884564285714285</v>
      </c>
      <c r="L81" s="65">
        <f t="shared" si="11"/>
        <v>-126161.61</v>
      </c>
      <c r="M81" s="73"/>
      <c r="N81" s="73"/>
      <c r="O81" s="73">
        <v>15000</v>
      </c>
      <c r="P81" s="73"/>
      <c r="Q81" s="73">
        <v>-15000</v>
      </c>
      <c r="R81" s="73">
        <f>22500</f>
        <v>22500</v>
      </c>
      <c r="S81" s="73">
        <f>127500</f>
        <v>127500</v>
      </c>
      <c r="T81" s="79">
        <f>-10000</f>
        <v>-10000</v>
      </c>
      <c r="U81" s="73"/>
      <c r="V81" s="73">
        <f>105000-105000</f>
        <v>0</v>
      </c>
      <c r="W81" s="73">
        <f>15000-15000</f>
        <v>0</v>
      </c>
      <c r="X81" s="73">
        <f>30000-30000</f>
        <v>0</v>
      </c>
      <c r="Y81" s="22">
        <f t="shared" si="12"/>
        <v>140000</v>
      </c>
      <c r="Z81" s="68">
        <f t="shared" si="13"/>
        <v>0</v>
      </c>
    </row>
    <row r="82" spans="1:26" ht="26.25" customHeight="1">
      <c r="A82" s="1"/>
      <c r="B82" s="20"/>
      <c r="C82" s="54" t="s">
        <v>100</v>
      </c>
      <c r="D82" s="55">
        <f t="shared" si="8"/>
        <v>350000</v>
      </c>
      <c r="E82" s="56"/>
      <c r="F82" s="55">
        <f t="shared" si="9"/>
        <v>350000</v>
      </c>
      <c r="G82" s="51">
        <v>350000</v>
      </c>
      <c r="H82" s="22"/>
      <c r="I82" s="42">
        <f t="shared" si="10"/>
        <v>0</v>
      </c>
      <c r="J82" s="72" t="e">
        <f t="shared" si="14"/>
        <v>#DIV/0!</v>
      </c>
      <c r="L82" s="65">
        <f t="shared" si="11"/>
        <v>0</v>
      </c>
      <c r="M82" s="73"/>
      <c r="N82" s="73"/>
      <c r="O82" s="73">
        <v>35000</v>
      </c>
      <c r="P82" s="73"/>
      <c r="Q82" s="73">
        <v>-35000</v>
      </c>
      <c r="R82" s="73"/>
      <c r="S82" s="73"/>
      <c r="T82" s="79"/>
      <c r="U82" s="73"/>
      <c r="V82" s="73">
        <v>157500</v>
      </c>
      <c r="W82" s="73">
        <f>35000</f>
        <v>35000</v>
      </c>
      <c r="X82" s="73">
        <v>157500</v>
      </c>
      <c r="Y82" s="22">
        <f t="shared" si="12"/>
        <v>350000</v>
      </c>
      <c r="Z82" s="68">
        <f t="shared" si="13"/>
        <v>0</v>
      </c>
    </row>
    <row r="83" spans="1:26" ht="26.25" customHeight="1" hidden="1">
      <c r="A83" s="1"/>
      <c r="B83" s="20"/>
      <c r="C83" s="54" t="s">
        <v>101</v>
      </c>
      <c r="D83" s="55">
        <f t="shared" si="8"/>
        <v>0</v>
      </c>
      <c r="E83" s="56"/>
      <c r="F83" s="55">
        <f t="shared" si="9"/>
        <v>0</v>
      </c>
      <c r="G83" s="51">
        <f>130000-130000</f>
        <v>0</v>
      </c>
      <c r="H83" s="22"/>
      <c r="I83" s="42" t="e">
        <f t="shared" si="10"/>
        <v>#DIV/0!</v>
      </c>
      <c r="J83" s="72" t="e">
        <f t="shared" si="14"/>
        <v>#DIV/0!</v>
      </c>
      <c r="L83" s="65">
        <f t="shared" si="11"/>
        <v>0</v>
      </c>
      <c r="M83" s="73"/>
      <c r="N83" s="73"/>
      <c r="O83" s="73">
        <v>13000</v>
      </c>
      <c r="P83" s="73"/>
      <c r="Q83" s="73">
        <v>-13000</v>
      </c>
      <c r="R83" s="73">
        <f>19500</f>
        <v>19500</v>
      </c>
      <c r="S83" s="73">
        <f>110500</f>
        <v>110500</v>
      </c>
      <c r="T83" s="79">
        <f>-130000</f>
        <v>-130000</v>
      </c>
      <c r="U83" s="73"/>
      <c r="V83" s="73">
        <f>91000-91000</f>
        <v>0</v>
      </c>
      <c r="W83" s="73">
        <f>13000-13000</f>
        <v>0</v>
      </c>
      <c r="X83" s="73">
        <f>26000-26000</f>
        <v>0</v>
      </c>
      <c r="Y83" s="22">
        <f t="shared" si="12"/>
        <v>0</v>
      </c>
      <c r="Z83" s="68">
        <f t="shared" si="13"/>
        <v>0</v>
      </c>
    </row>
    <row r="84" spans="1:26" ht="26.25" customHeight="1">
      <c r="A84" s="1"/>
      <c r="B84" s="20"/>
      <c r="C84" s="54" t="s">
        <v>102</v>
      </c>
      <c r="D84" s="55">
        <f t="shared" si="8"/>
        <v>263000</v>
      </c>
      <c r="E84" s="56"/>
      <c r="F84" s="55">
        <f t="shared" si="9"/>
        <v>263000</v>
      </c>
      <c r="G84" s="51">
        <f>133000+130000</f>
        <v>263000</v>
      </c>
      <c r="H84" s="24">
        <f>30000</f>
        <v>30000</v>
      </c>
      <c r="I84" s="41">
        <f t="shared" si="10"/>
        <v>11.406844106463879</v>
      </c>
      <c r="J84" s="72">
        <f t="shared" si="14"/>
        <v>11.406844106463879</v>
      </c>
      <c r="L84" s="65">
        <f t="shared" si="11"/>
        <v>-233000</v>
      </c>
      <c r="M84" s="73"/>
      <c r="N84" s="73"/>
      <c r="O84" s="73">
        <v>13300</v>
      </c>
      <c r="P84" s="73"/>
      <c r="Q84" s="73">
        <v>-13300</v>
      </c>
      <c r="R84" s="73">
        <f>19950</f>
        <v>19950</v>
      </c>
      <c r="S84" s="73">
        <f>113050</f>
        <v>113050</v>
      </c>
      <c r="T84" s="79">
        <f>130000</f>
        <v>130000</v>
      </c>
      <c r="U84" s="73"/>
      <c r="V84" s="73">
        <f>93100-93100</f>
        <v>0</v>
      </c>
      <c r="W84" s="73">
        <f>13300-13300</f>
        <v>0</v>
      </c>
      <c r="X84" s="73">
        <f>26600-26600</f>
        <v>0</v>
      </c>
      <c r="Y84" s="22">
        <f t="shared" si="12"/>
        <v>263000</v>
      </c>
      <c r="Z84" s="68">
        <f t="shared" si="13"/>
        <v>0</v>
      </c>
    </row>
    <row r="85" spans="1:26" ht="26.25" customHeight="1">
      <c r="A85" s="1"/>
      <c r="B85" s="20"/>
      <c r="C85" s="54" t="s">
        <v>103</v>
      </c>
      <c r="D85" s="55">
        <f t="shared" si="8"/>
        <v>133000</v>
      </c>
      <c r="E85" s="56"/>
      <c r="F85" s="55">
        <f t="shared" si="9"/>
        <v>133000</v>
      </c>
      <c r="G85" s="51">
        <v>133000</v>
      </c>
      <c r="H85" s="24">
        <f>23000</f>
        <v>23000</v>
      </c>
      <c r="I85" s="41">
        <f t="shared" si="10"/>
        <v>17.293233082706767</v>
      </c>
      <c r="J85" s="72">
        <f t="shared" si="14"/>
        <v>100</v>
      </c>
      <c r="L85" s="65">
        <f t="shared" si="11"/>
        <v>0</v>
      </c>
      <c r="M85" s="73"/>
      <c r="N85" s="73"/>
      <c r="O85" s="73">
        <v>13300</v>
      </c>
      <c r="P85" s="73"/>
      <c r="Q85" s="73">
        <v>-13300</v>
      </c>
      <c r="R85" s="73"/>
      <c r="S85" s="73"/>
      <c r="T85" s="79"/>
      <c r="U85" s="73">
        <f>23000</f>
        <v>23000</v>
      </c>
      <c r="V85" s="73">
        <f>93100-23000</f>
        <v>70100</v>
      </c>
      <c r="W85" s="73">
        <f>13300</f>
        <v>13300</v>
      </c>
      <c r="X85" s="73">
        <v>26600</v>
      </c>
      <c r="Y85" s="22">
        <f t="shared" si="12"/>
        <v>133000</v>
      </c>
      <c r="Z85" s="68">
        <f t="shared" si="13"/>
        <v>0</v>
      </c>
    </row>
    <row r="86" spans="1:26" ht="26.25" customHeight="1">
      <c r="A86" s="1"/>
      <c r="B86" s="20"/>
      <c r="C86" s="54" t="s">
        <v>104</v>
      </c>
      <c r="D86" s="55">
        <f t="shared" si="8"/>
        <v>116000</v>
      </c>
      <c r="E86" s="56"/>
      <c r="F86" s="55">
        <f t="shared" si="9"/>
        <v>116000</v>
      </c>
      <c r="G86" s="51">
        <v>116000</v>
      </c>
      <c r="H86" s="24">
        <f>23000</f>
        <v>23000</v>
      </c>
      <c r="I86" s="41">
        <f t="shared" si="10"/>
        <v>19.82758620689655</v>
      </c>
      <c r="J86" s="72">
        <f t="shared" si="14"/>
        <v>100</v>
      </c>
      <c r="L86" s="65">
        <f t="shared" si="11"/>
        <v>0</v>
      </c>
      <c r="M86" s="73"/>
      <c r="N86" s="73"/>
      <c r="O86" s="73">
        <v>11600</v>
      </c>
      <c r="P86" s="73"/>
      <c r="Q86" s="73">
        <v>-11600</v>
      </c>
      <c r="R86" s="73"/>
      <c r="S86" s="73"/>
      <c r="T86" s="79"/>
      <c r="U86" s="73">
        <f>23000</f>
        <v>23000</v>
      </c>
      <c r="V86" s="73">
        <f>81200-23000</f>
        <v>58200</v>
      </c>
      <c r="W86" s="73">
        <f>11600</f>
        <v>11600</v>
      </c>
      <c r="X86" s="73">
        <v>23200</v>
      </c>
      <c r="Y86" s="22">
        <f t="shared" si="12"/>
        <v>116000</v>
      </c>
      <c r="Z86" s="68">
        <f t="shared" si="13"/>
        <v>0</v>
      </c>
    </row>
    <row r="87" spans="1:26" ht="48" customHeight="1">
      <c r="A87" s="1"/>
      <c r="B87" s="20"/>
      <c r="C87" s="54" t="s">
        <v>170</v>
      </c>
      <c r="D87" s="55">
        <f>G87</f>
        <v>1150000</v>
      </c>
      <c r="E87" s="56"/>
      <c r="F87" s="55">
        <f>G87</f>
        <v>1150000</v>
      </c>
      <c r="G87" s="51">
        <f>394000+50000+706000</f>
        <v>1150000</v>
      </c>
      <c r="H87" s="51">
        <f>35460.63+10503.8+270000</f>
        <v>315964.43</v>
      </c>
      <c r="I87" s="41">
        <f>H87/D87*100</f>
        <v>27.475167826086956</v>
      </c>
      <c r="J87" s="72">
        <f t="shared" si="14"/>
        <v>37.76971749804544</v>
      </c>
      <c r="L87" s="65">
        <f t="shared" si="11"/>
        <v>-520590.48999999993</v>
      </c>
      <c r="M87" s="73"/>
      <c r="N87" s="73"/>
      <c r="O87" s="73">
        <v>39400</v>
      </c>
      <c r="P87" s="73"/>
      <c r="Q87" s="73"/>
      <c r="R87" s="73">
        <f>53190</f>
        <v>53190</v>
      </c>
      <c r="S87" s="73">
        <f>301410</f>
        <v>301410</v>
      </c>
      <c r="T87" s="77"/>
      <c r="U87" s="73">
        <f>50000+392554.92</f>
        <v>442554.92</v>
      </c>
      <c r="V87" s="73">
        <f>275800-275800+313445.08</f>
        <v>313445.08</v>
      </c>
      <c r="W87" s="73"/>
      <c r="X87" s="73">
        <f>78800-78800</f>
        <v>0</v>
      </c>
      <c r="Y87" s="22">
        <f t="shared" si="12"/>
        <v>1150000</v>
      </c>
      <c r="Z87" s="68">
        <f t="shared" si="13"/>
        <v>0</v>
      </c>
    </row>
    <row r="88" spans="1:26" ht="25.5" customHeight="1" hidden="1">
      <c r="A88" s="1"/>
      <c r="B88" s="20"/>
      <c r="C88" s="54" t="s">
        <v>156</v>
      </c>
      <c r="D88" s="55">
        <f>G88</f>
        <v>0</v>
      </c>
      <c r="E88" s="56"/>
      <c r="F88" s="55">
        <f>G88</f>
        <v>0</v>
      </c>
      <c r="G88" s="51">
        <f>50000-50000</f>
        <v>0</v>
      </c>
      <c r="H88" s="24"/>
      <c r="I88" s="41"/>
      <c r="J88" s="72" t="e">
        <f t="shared" si="14"/>
        <v>#DIV/0!</v>
      </c>
      <c r="L88" s="65">
        <f t="shared" si="11"/>
        <v>0</v>
      </c>
      <c r="M88" s="73"/>
      <c r="N88" s="73"/>
      <c r="O88" s="73"/>
      <c r="P88" s="73"/>
      <c r="Q88" s="73"/>
      <c r="R88" s="73">
        <f>50000</f>
        <v>50000</v>
      </c>
      <c r="S88" s="73">
        <v>-50000</v>
      </c>
      <c r="T88" s="79"/>
      <c r="U88" s="73"/>
      <c r="V88" s="73"/>
      <c r="W88" s="73"/>
      <c r="X88" s="73"/>
      <c r="Y88" s="22">
        <f t="shared" si="12"/>
        <v>0</v>
      </c>
      <c r="Z88" s="68">
        <f t="shared" si="13"/>
        <v>0</v>
      </c>
    </row>
    <row r="89" spans="1:26" ht="26.25" customHeight="1">
      <c r="A89" s="1"/>
      <c r="B89" s="20"/>
      <c r="C89" s="54" t="s">
        <v>105</v>
      </c>
      <c r="D89" s="55">
        <f t="shared" si="8"/>
        <v>180000</v>
      </c>
      <c r="E89" s="56"/>
      <c r="F89" s="55">
        <f t="shared" si="9"/>
        <v>180000</v>
      </c>
      <c r="G89" s="51">
        <v>180000</v>
      </c>
      <c r="H89" s="22"/>
      <c r="I89" s="42">
        <f t="shared" si="10"/>
        <v>0</v>
      </c>
      <c r="J89" s="72" t="e">
        <f t="shared" si="14"/>
        <v>#DIV/0!</v>
      </c>
      <c r="L89" s="65">
        <f t="shared" si="11"/>
        <v>0</v>
      </c>
      <c r="M89" s="73"/>
      <c r="N89" s="73"/>
      <c r="O89" s="73">
        <v>18000</v>
      </c>
      <c r="P89" s="73"/>
      <c r="Q89" s="73">
        <v>-18000</v>
      </c>
      <c r="R89" s="73"/>
      <c r="S89" s="73"/>
      <c r="T89" s="79"/>
      <c r="U89" s="73"/>
      <c r="V89" s="73">
        <v>126000</v>
      </c>
      <c r="W89" s="73">
        <v>18000</v>
      </c>
      <c r="X89" s="73">
        <v>36000</v>
      </c>
      <c r="Y89" s="22">
        <f t="shared" si="12"/>
        <v>180000</v>
      </c>
      <c r="Z89" s="68">
        <f t="shared" si="13"/>
        <v>0</v>
      </c>
    </row>
    <row r="90" spans="1:26" ht="26.25" customHeight="1">
      <c r="A90" s="1"/>
      <c r="B90" s="20"/>
      <c r="C90" s="54" t="s">
        <v>106</v>
      </c>
      <c r="D90" s="55">
        <f t="shared" si="8"/>
        <v>106000</v>
      </c>
      <c r="E90" s="56"/>
      <c r="F90" s="55">
        <f t="shared" si="9"/>
        <v>106000</v>
      </c>
      <c r="G90" s="51">
        <v>106000</v>
      </c>
      <c r="H90" s="22"/>
      <c r="I90" s="42">
        <f t="shared" si="10"/>
        <v>0</v>
      </c>
      <c r="J90" s="72" t="e">
        <f t="shared" si="14"/>
        <v>#DIV/0!</v>
      </c>
      <c r="L90" s="65">
        <f t="shared" si="11"/>
        <v>0</v>
      </c>
      <c r="M90" s="73"/>
      <c r="N90" s="73"/>
      <c r="O90" s="73">
        <v>10600</v>
      </c>
      <c r="P90" s="73"/>
      <c r="Q90" s="73">
        <v>-10600</v>
      </c>
      <c r="R90" s="73"/>
      <c r="S90" s="73"/>
      <c r="T90" s="79"/>
      <c r="U90" s="73"/>
      <c r="V90" s="73">
        <v>74200</v>
      </c>
      <c r="W90" s="73">
        <v>10600</v>
      </c>
      <c r="X90" s="73">
        <v>21200</v>
      </c>
      <c r="Y90" s="22">
        <f t="shared" si="12"/>
        <v>106000</v>
      </c>
      <c r="Z90" s="68">
        <f t="shared" si="13"/>
        <v>0</v>
      </c>
    </row>
    <row r="91" spans="1:26" ht="26.25" customHeight="1">
      <c r="A91" s="1"/>
      <c r="B91" s="20"/>
      <c r="C91" s="54" t="s">
        <v>155</v>
      </c>
      <c r="D91" s="55">
        <f>G91</f>
        <v>700000</v>
      </c>
      <c r="E91" s="56"/>
      <c r="F91" s="55">
        <f>G91</f>
        <v>700000</v>
      </c>
      <c r="G91" s="51">
        <f>750000-50000</f>
        <v>700000</v>
      </c>
      <c r="H91" s="24"/>
      <c r="I91" s="42">
        <f>H91/D91*100</f>
        <v>0</v>
      </c>
      <c r="J91" s="72">
        <f t="shared" si="14"/>
        <v>0</v>
      </c>
      <c r="L91" s="65">
        <f aca="true" t="shared" si="15" ref="L91:L144">H91-(M91+N91+O91+P91+Q91+R91+S91+T91+U91)</f>
        <v>-350000</v>
      </c>
      <c r="M91" s="73"/>
      <c r="N91" s="73"/>
      <c r="O91" s="73"/>
      <c r="P91" s="73"/>
      <c r="Q91" s="73"/>
      <c r="R91" s="73">
        <v>350000</v>
      </c>
      <c r="S91" s="73"/>
      <c r="T91" s="79"/>
      <c r="U91" s="73">
        <f>750000-750000</f>
        <v>0</v>
      </c>
      <c r="V91" s="73"/>
      <c r="W91" s="73"/>
      <c r="X91" s="73">
        <f>350000</f>
        <v>350000</v>
      </c>
      <c r="Y91" s="22">
        <f t="shared" si="12"/>
        <v>700000</v>
      </c>
      <c r="Z91" s="68">
        <f aca="true" t="shared" si="16" ref="Z91:Z145">Y91-D91</f>
        <v>0</v>
      </c>
    </row>
    <row r="92" spans="1:26" ht="26.25" customHeight="1">
      <c r="A92" s="1"/>
      <c r="B92" s="20"/>
      <c r="C92" s="54" t="s">
        <v>107</v>
      </c>
      <c r="D92" s="55">
        <f>G92</f>
        <v>232000</v>
      </c>
      <c r="E92" s="56"/>
      <c r="F92" s="55">
        <f>G92</f>
        <v>232000</v>
      </c>
      <c r="G92" s="51">
        <v>232000</v>
      </c>
      <c r="H92" s="22"/>
      <c r="I92" s="42">
        <f aca="true" t="shared" si="17" ref="I92:I145">H92/D92*100</f>
        <v>0</v>
      </c>
      <c r="J92" s="72">
        <f t="shared" si="14"/>
        <v>0</v>
      </c>
      <c r="L92" s="65">
        <f t="shared" si="15"/>
        <v>-197200</v>
      </c>
      <c r="M92" s="73"/>
      <c r="N92" s="73"/>
      <c r="O92" s="73">
        <v>23200</v>
      </c>
      <c r="P92" s="73"/>
      <c r="Q92" s="73">
        <v>-23200</v>
      </c>
      <c r="R92" s="73">
        <f>34800-34800</f>
        <v>0</v>
      </c>
      <c r="S92" s="73">
        <f>197200</f>
        <v>197200</v>
      </c>
      <c r="T92" s="79"/>
      <c r="U92" s="73"/>
      <c r="V92" s="73">
        <f>162400-162400</f>
        <v>0</v>
      </c>
      <c r="W92" s="73">
        <f>23200-23200</f>
        <v>0</v>
      </c>
      <c r="X92" s="73">
        <f>46400-46400+34800</f>
        <v>34800</v>
      </c>
      <c r="Y92" s="22">
        <f t="shared" si="12"/>
        <v>232000</v>
      </c>
      <c r="Z92" s="68">
        <f t="shared" si="16"/>
        <v>0</v>
      </c>
    </row>
    <row r="93" spans="1:26" ht="26.25" customHeight="1">
      <c r="A93" s="1"/>
      <c r="B93" s="20"/>
      <c r="C93" s="54" t="s">
        <v>108</v>
      </c>
      <c r="D93" s="55">
        <f>G93</f>
        <v>603000</v>
      </c>
      <c r="E93" s="56"/>
      <c r="F93" s="55">
        <f>G93</f>
        <v>603000</v>
      </c>
      <c r="G93" s="51">
        <v>603000</v>
      </c>
      <c r="H93" s="22"/>
      <c r="I93" s="42">
        <f t="shared" si="17"/>
        <v>0</v>
      </c>
      <c r="J93" s="72">
        <f t="shared" si="14"/>
        <v>0</v>
      </c>
      <c r="L93" s="65">
        <f t="shared" si="15"/>
        <v>-206766.53</v>
      </c>
      <c r="M93" s="73"/>
      <c r="N93" s="73"/>
      <c r="O93" s="73">
        <v>60300</v>
      </c>
      <c r="P93" s="73"/>
      <c r="Q93" s="73"/>
      <c r="R93" s="73">
        <f>81405-141705</f>
        <v>-60300</v>
      </c>
      <c r="S93" s="73">
        <f>461295-360000</f>
        <v>101295</v>
      </c>
      <c r="T93" s="79">
        <f>271350-271350+360000</f>
        <v>360000</v>
      </c>
      <c r="U93" s="73">
        <f>-254528.47</f>
        <v>-254528.47</v>
      </c>
      <c r="V93" s="73">
        <f>254528.47</f>
        <v>254528.47</v>
      </c>
      <c r="W93" s="73">
        <f>271350-271350</f>
        <v>0</v>
      </c>
      <c r="X93" s="73">
        <f>141705</f>
        <v>141705</v>
      </c>
      <c r="Y93" s="22">
        <f aca="true" t="shared" si="18" ref="Y93:Y145">SUM(M93:X93)</f>
        <v>603000</v>
      </c>
      <c r="Z93" s="68">
        <f t="shared" si="16"/>
        <v>0</v>
      </c>
    </row>
    <row r="94" spans="1:26" ht="26.25" customHeight="1">
      <c r="A94" s="1"/>
      <c r="B94" s="20"/>
      <c r="C94" s="54" t="s">
        <v>109</v>
      </c>
      <c r="D94" s="55">
        <f>G94</f>
        <v>311000</v>
      </c>
      <c r="E94" s="56"/>
      <c r="F94" s="55">
        <f>G94</f>
        <v>311000</v>
      </c>
      <c r="G94" s="51">
        <f>118000+193000</f>
        <v>311000</v>
      </c>
      <c r="H94" s="22"/>
      <c r="I94" s="42">
        <f t="shared" si="17"/>
        <v>0</v>
      </c>
      <c r="J94" s="72">
        <f t="shared" si="14"/>
        <v>0</v>
      </c>
      <c r="L94" s="65">
        <f t="shared" si="15"/>
        <v>-237915</v>
      </c>
      <c r="M94" s="73"/>
      <c r="N94" s="73"/>
      <c r="O94" s="73">
        <v>31100</v>
      </c>
      <c r="P94" s="73"/>
      <c r="Q94" s="73"/>
      <c r="R94" s="73">
        <f>41985-73085</f>
        <v>-31100</v>
      </c>
      <c r="S94" s="73">
        <f>237915-180000</f>
        <v>57915</v>
      </c>
      <c r="T94" s="79">
        <f>139950-139950+180000</f>
        <v>180000</v>
      </c>
      <c r="U94" s="73"/>
      <c r="V94" s="73"/>
      <c r="W94" s="73">
        <f>139950-139950</f>
        <v>0</v>
      </c>
      <c r="X94" s="73">
        <f>73085</f>
        <v>73085</v>
      </c>
      <c r="Y94" s="22">
        <f t="shared" si="18"/>
        <v>311000</v>
      </c>
      <c r="Z94" s="68">
        <f t="shared" si="16"/>
        <v>0</v>
      </c>
    </row>
    <row r="95" spans="1:26" ht="45" customHeight="1">
      <c r="A95" s="1"/>
      <c r="B95" s="20"/>
      <c r="C95" s="57" t="s">
        <v>34</v>
      </c>
      <c r="D95" s="24">
        <f>E95+F95</f>
        <v>450000</v>
      </c>
      <c r="E95" s="26"/>
      <c r="F95" s="24">
        <v>450000</v>
      </c>
      <c r="G95" s="44">
        <f>F95</f>
        <v>450000</v>
      </c>
      <c r="H95" s="24"/>
      <c r="I95" s="42">
        <f t="shared" si="17"/>
        <v>0</v>
      </c>
      <c r="J95" s="72">
        <f t="shared" si="14"/>
        <v>0</v>
      </c>
      <c r="L95" s="65">
        <f t="shared" si="15"/>
        <v>-450000</v>
      </c>
      <c r="M95" s="73"/>
      <c r="N95" s="75">
        <v>450000</v>
      </c>
      <c r="O95" s="73"/>
      <c r="P95" s="73"/>
      <c r="Q95" s="73"/>
      <c r="R95" s="73"/>
      <c r="S95" s="73"/>
      <c r="T95" s="79"/>
      <c r="U95" s="73"/>
      <c r="V95" s="73"/>
      <c r="W95" s="73"/>
      <c r="X95" s="73"/>
      <c r="Y95" s="22">
        <f t="shared" si="18"/>
        <v>450000</v>
      </c>
      <c r="Z95" s="68">
        <f t="shared" si="16"/>
        <v>0</v>
      </c>
    </row>
    <row r="96" spans="1:26" ht="47.25" customHeight="1">
      <c r="A96" s="1"/>
      <c r="B96" s="20"/>
      <c r="C96" s="57" t="s">
        <v>33</v>
      </c>
      <c r="D96" s="24">
        <f>E96+F96</f>
        <v>240000</v>
      </c>
      <c r="E96" s="26"/>
      <c r="F96" s="24">
        <v>240000</v>
      </c>
      <c r="G96" s="44">
        <f>F96</f>
        <v>240000</v>
      </c>
      <c r="H96" s="24">
        <f>23000</f>
        <v>23000</v>
      </c>
      <c r="I96" s="41">
        <f t="shared" si="17"/>
        <v>9.583333333333334</v>
      </c>
      <c r="J96" s="72">
        <f aca="true" t="shared" si="19" ref="J96:J145">H96/(N96+O96+P96+Q96+R96+S96+T96+U96)*100</f>
        <v>9.583333333333334</v>
      </c>
      <c r="L96" s="65">
        <f t="shared" si="15"/>
        <v>-217000</v>
      </c>
      <c r="M96" s="73"/>
      <c r="N96" s="75">
        <v>240000</v>
      </c>
      <c r="O96" s="73"/>
      <c r="P96" s="73"/>
      <c r="Q96" s="73"/>
      <c r="R96" s="73"/>
      <c r="S96" s="73"/>
      <c r="T96" s="79"/>
      <c r="U96" s="73"/>
      <c r="V96" s="73"/>
      <c r="W96" s="73"/>
      <c r="X96" s="73"/>
      <c r="Y96" s="22">
        <f t="shared" si="18"/>
        <v>240000</v>
      </c>
      <c r="Z96" s="68">
        <f t="shared" si="16"/>
        <v>0</v>
      </c>
    </row>
    <row r="97" spans="1:26" ht="26.25" customHeight="1" hidden="1">
      <c r="A97" s="1"/>
      <c r="B97" s="20"/>
      <c r="C97" s="54" t="s">
        <v>164</v>
      </c>
      <c r="D97" s="24">
        <f>E97+F97</f>
        <v>0</v>
      </c>
      <c r="E97" s="26"/>
      <c r="F97" s="24">
        <f>G97</f>
        <v>0</v>
      </c>
      <c r="G97" s="44">
        <f>50000-50000</f>
        <v>0</v>
      </c>
      <c r="H97" s="24"/>
      <c r="I97" s="42"/>
      <c r="J97" s="72" t="e">
        <f t="shared" si="19"/>
        <v>#DIV/0!</v>
      </c>
      <c r="L97" s="65">
        <f t="shared" si="15"/>
        <v>0</v>
      </c>
      <c r="M97" s="73"/>
      <c r="N97" s="73"/>
      <c r="O97" s="73"/>
      <c r="P97" s="73">
        <f>5000</f>
        <v>5000</v>
      </c>
      <c r="Q97" s="73"/>
      <c r="R97" s="73"/>
      <c r="S97" s="73">
        <f>-5000</f>
        <v>-5000</v>
      </c>
      <c r="T97" s="79"/>
      <c r="U97" s="73">
        <f>35000-35000</f>
        <v>0</v>
      </c>
      <c r="V97" s="73"/>
      <c r="W97" s="73">
        <f>10000-10000</f>
        <v>0</v>
      </c>
      <c r="X97" s="73"/>
      <c r="Y97" s="22">
        <f t="shared" si="18"/>
        <v>0</v>
      </c>
      <c r="Z97" s="68">
        <f t="shared" si="16"/>
        <v>0</v>
      </c>
    </row>
    <row r="98" spans="1:26" ht="25.5" customHeight="1">
      <c r="A98" s="1"/>
      <c r="B98" s="20"/>
      <c r="C98" s="54" t="s">
        <v>110</v>
      </c>
      <c r="D98" s="55">
        <f aca="true" t="shared" si="20" ref="D98:D105">G98</f>
        <v>580000</v>
      </c>
      <c r="E98" s="56"/>
      <c r="F98" s="55">
        <f aca="true" t="shared" si="21" ref="F98:F105">G98</f>
        <v>580000</v>
      </c>
      <c r="G98" s="51">
        <v>580000</v>
      </c>
      <c r="H98" s="24"/>
      <c r="I98" s="42">
        <f t="shared" si="17"/>
        <v>0</v>
      </c>
      <c r="J98" s="72" t="e">
        <f t="shared" si="19"/>
        <v>#DIV/0!</v>
      </c>
      <c r="L98" s="65">
        <f t="shared" si="15"/>
        <v>0</v>
      </c>
      <c r="M98" s="73"/>
      <c r="N98" s="73"/>
      <c r="O98" s="73">
        <v>58000</v>
      </c>
      <c r="P98" s="73"/>
      <c r="Q98" s="73">
        <v>-58000</v>
      </c>
      <c r="R98" s="73"/>
      <c r="S98" s="73"/>
      <c r="T98" s="79"/>
      <c r="U98" s="73">
        <f>406000-406000</f>
        <v>0</v>
      </c>
      <c r="V98" s="73">
        <f>406000</f>
        <v>406000</v>
      </c>
      <c r="W98" s="73">
        <v>174000</v>
      </c>
      <c r="X98" s="73"/>
      <c r="Y98" s="22">
        <f t="shared" si="18"/>
        <v>580000</v>
      </c>
      <c r="Z98" s="68">
        <f t="shared" si="16"/>
        <v>0</v>
      </c>
    </row>
    <row r="99" spans="1:26" ht="45" customHeight="1" hidden="1">
      <c r="A99" s="1"/>
      <c r="B99" s="20"/>
      <c r="C99" s="54" t="s">
        <v>111</v>
      </c>
      <c r="D99" s="55">
        <f t="shared" si="20"/>
        <v>0</v>
      </c>
      <c r="E99" s="56"/>
      <c r="F99" s="55">
        <f t="shared" si="21"/>
        <v>0</v>
      </c>
      <c r="G99" s="51">
        <f>133000-133000</f>
        <v>0</v>
      </c>
      <c r="H99" s="24"/>
      <c r="I99" s="42" t="e">
        <f t="shared" si="17"/>
        <v>#DIV/0!</v>
      </c>
      <c r="J99" s="72" t="e">
        <f t="shared" si="19"/>
        <v>#DIV/0!</v>
      </c>
      <c r="L99" s="65">
        <f t="shared" si="15"/>
        <v>0</v>
      </c>
      <c r="M99" s="73"/>
      <c r="N99" s="73"/>
      <c r="O99" s="73">
        <v>13300</v>
      </c>
      <c r="P99" s="73"/>
      <c r="Q99" s="73">
        <v>-13300</v>
      </c>
      <c r="R99" s="73">
        <f>19950</f>
        <v>19950</v>
      </c>
      <c r="S99" s="73">
        <f>113050</f>
        <v>113050</v>
      </c>
      <c r="T99" s="79">
        <f>-133000</f>
        <v>-133000</v>
      </c>
      <c r="U99" s="73">
        <f>93100-93100</f>
        <v>0</v>
      </c>
      <c r="V99" s="73"/>
      <c r="W99" s="73">
        <f>39900-39900</f>
        <v>0</v>
      </c>
      <c r="X99" s="73"/>
      <c r="Y99" s="22">
        <f t="shared" si="18"/>
        <v>0</v>
      </c>
      <c r="Z99" s="68">
        <f t="shared" si="16"/>
        <v>0</v>
      </c>
    </row>
    <row r="100" spans="1:26" ht="24" customHeight="1">
      <c r="A100" s="1"/>
      <c r="B100" s="20"/>
      <c r="C100" s="54" t="s">
        <v>112</v>
      </c>
      <c r="D100" s="55">
        <f t="shared" si="20"/>
        <v>133000</v>
      </c>
      <c r="E100" s="56"/>
      <c r="F100" s="55">
        <f t="shared" si="21"/>
        <v>133000</v>
      </c>
      <c r="G100" s="51">
        <v>133000</v>
      </c>
      <c r="H100" s="24"/>
      <c r="I100" s="42">
        <f t="shared" si="17"/>
        <v>0</v>
      </c>
      <c r="J100" s="72">
        <f t="shared" si="19"/>
        <v>0</v>
      </c>
      <c r="L100" s="65">
        <f t="shared" si="15"/>
        <v>-93100</v>
      </c>
      <c r="M100" s="73"/>
      <c r="N100" s="73"/>
      <c r="O100" s="73">
        <v>13300</v>
      </c>
      <c r="P100" s="73"/>
      <c r="Q100" s="73">
        <v>-13300</v>
      </c>
      <c r="R100" s="73"/>
      <c r="S100" s="73"/>
      <c r="T100" s="79"/>
      <c r="U100" s="73">
        <v>93100</v>
      </c>
      <c r="V100" s="73"/>
      <c r="W100" s="73">
        <v>39900</v>
      </c>
      <c r="X100" s="73"/>
      <c r="Y100" s="22">
        <f t="shared" si="18"/>
        <v>133000</v>
      </c>
      <c r="Z100" s="68">
        <f t="shared" si="16"/>
        <v>0</v>
      </c>
    </row>
    <row r="101" spans="1:26" ht="25.5" customHeight="1">
      <c r="A101" s="1"/>
      <c r="B101" s="20"/>
      <c r="C101" s="54" t="s">
        <v>113</v>
      </c>
      <c r="D101" s="55">
        <f t="shared" si="20"/>
        <v>232000</v>
      </c>
      <c r="E101" s="56"/>
      <c r="F101" s="55">
        <f t="shared" si="21"/>
        <v>232000</v>
      </c>
      <c r="G101" s="51">
        <v>232000</v>
      </c>
      <c r="H101" s="24"/>
      <c r="I101" s="42">
        <f t="shared" si="17"/>
        <v>0</v>
      </c>
      <c r="J101" s="72" t="e">
        <f t="shared" si="19"/>
        <v>#DIV/0!</v>
      </c>
      <c r="L101" s="65">
        <f t="shared" si="15"/>
        <v>0</v>
      </c>
      <c r="M101" s="73"/>
      <c r="N101" s="73"/>
      <c r="O101" s="73">
        <v>23200</v>
      </c>
      <c r="P101" s="73"/>
      <c r="Q101" s="73">
        <v>-23200</v>
      </c>
      <c r="R101" s="73"/>
      <c r="S101" s="73"/>
      <c r="T101" s="79"/>
      <c r="U101" s="73">
        <f>162400-162400</f>
        <v>0</v>
      </c>
      <c r="V101" s="73"/>
      <c r="W101" s="73">
        <f>69600+75400</f>
        <v>145000</v>
      </c>
      <c r="X101" s="73">
        <f>87000</f>
        <v>87000</v>
      </c>
      <c r="Y101" s="22">
        <f t="shared" si="18"/>
        <v>232000</v>
      </c>
      <c r="Z101" s="68">
        <f t="shared" si="16"/>
        <v>0</v>
      </c>
    </row>
    <row r="102" spans="1:26" ht="25.5" customHeight="1">
      <c r="A102" s="1"/>
      <c r="B102" s="20"/>
      <c r="C102" s="54" t="s">
        <v>114</v>
      </c>
      <c r="D102" s="55">
        <f t="shared" si="20"/>
        <v>133000</v>
      </c>
      <c r="E102" s="56"/>
      <c r="F102" s="55">
        <f t="shared" si="21"/>
        <v>133000</v>
      </c>
      <c r="G102" s="51">
        <v>133000</v>
      </c>
      <c r="H102" s="24">
        <f>19000</f>
        <v>19000</v>
      </c>
      <c r="I102" s="41">
        <f t="shared" si="17"/>
        <v>14.285714285714285</v>
      </c>
      <c r="J102" s="72">
        <f t="shared" si="19"/>
        <v>20.408163265306122</v>
      </c>
      <c r="L102" s="65">
        <f t="shared" si="15"/>
        <v>-74100</v>
      </c>
      <c r="M102" s="73"/>
      <c r="N102" s="73"/>
      <c r="O102" s="73">
        <v>13300</v>
      </c>
      <c r="P102" s="73"/>
      <c r="Q102" s="73">
        <v>-13300</v>
      </c>
      <c r="R102" s="73"/>
      <c r="S102" s="73"/>
      <c r="T102" s="79"/>
      <c r="U102" s="73">
        <v>93100</v>
      </c>
      <c r="V102" s="73"/>
      <c r="W102" s="73">
        <v>39900</v>
      </c>
      <c r="X102" s="73"/>
      <c r="Y102" s="22">
        <f t="shared" si="18"/>
        <v>133000</v>
      </c>
      <c r="Z102" s="68">
        <f t="shared" si="16"/>
        <v>0</v>
      </c>
    </row>
    <row r="103" spans="1:26" ht="27" customHeight="1">
      <c r="A103" s="1"/>
      <c r="B103" s="20"/>
      <c r="C103" s="54" t="s">
        <v>115</v>
      </c>
      <c r="D103" s="55">
        <f t="shared" si="20"/>
        <v>615100</v>
      </c>
      <c r="E103" s="56"/>
      <c r="F103" s="55">
        <f t="shared" si="21"/>
        <v>615100</v>
      </c>
      <c r="G103" s="51">
        <f>767000-151900</f>
        <v>615100</v>
      </c>
      <c r="H103" s="51">
        <f>32000+25000+400000+155501.4</f>
        <v>612501.4</v>
      </c>
      <c r="I103" s="41">
        <f t="shared" si="17"/>
        <v>99.57753210860022</v>
      </c>
      <c r="J103" s="72">
        <f t="shared" si="19"/>
        <v>99.9999983673507</v>
      </c>
      <c r="L103" s="65">
        <f t="shared" si="15"/>
        <v>-0.010000000009313226</v>
      </c>
      <c r="M103" s="74"/>
      <c r="N103" s="74"/>
      <c r="O103" s="74">
        <v>76700</v>
      </c>
      <c r="P103" s="74">
        <f>400000-9653</f>
        <v>390347</v>
      </c>
      <c r="Q103" s="74">
        <v>147609</v>
      </c>
      <c r="R103" s="74">
        <f>-2154.59</f>
        <v>-2154.59</v>
      </c>
      <c r="S103" s="74"/>
      <c r="T103" s="80"/>
      <c r="U103" s="74">
        <f>536900-400000-67081-69819</f>
        <v>0</v>
      </c>
      <c r="V103" s="74"/>
      <c r="W103" s="74">
        <f>153400-75166-77790</f>
        <v>444</v>
      </c>
      <c r="X103" s="74">
        <f>2154.59</f>
        <v>2154.59</v>
      </c>
      <c r="Y103" s="22">
        <f t="shared" si="18"/>
        <v>615100</v>
      </c>
      <c r="Z103" s="68">
        <f t="shared" si="16"/>
        <v>0</v>
      </c>
    </row>
    <row r="104" spans="1:26" ht="25.5" customHeight="1">
      <c r="A104" s="1"/>
      <c r="B104" s="20"/>
      <c r="C104" s="54" t="s">
        <v>116</v>
      </c>
      <c r="D104" s="55">
        <f t="shared" si="20"/>
        <v>540731.53</v>
      </c>
      <c r="E104" s="56"/>
      <c r="F104" s="55">
        <f t="shared" si="21"/>
        <v>540731.53</v>
      </c>
      <c r="G104" s="51">
        <f>979000-438268.47</f>
        <v>540731.53</v>
      </c>
      <c r="H104" s="51">
        <f>28000+20000+360000+130576.93</f>
        <v>538576.9299999999</v>
      </c>
      <c r="I104" s="41">
        <f t="shared" si="17"/>
        <v>99.60153978814587</v>
      </c>
      <c r="J104" s="72">
        <f t="shared" si="19"/>
        <v>99.60153978814587</v>
      </c>
      <c r="L104" s="65">
        <f t="shared" si="15"/>
        <v>-2154.600000000093</v>
      </c>
      <c r="M104" s="74"/>
      <c r="N104" s="74"/>
      <c r="O104" s="74">
        <v>97900</v>
      </c>
      <c r="P104" s="74">
        <v>360000</v>
      </c>
      <c r="Q104" s="74">
        <v>132732</v>
      </c>
      <c r="R104" s="74">
        <f>-52055.07</f>
        <v>-52055.07</v>
      </c>
      <c r="S104" s="74"/>
      <c r="T104" s="80"/>
      <c r="U104" s="74">
        <f>685300-360000-132732-190413.4</f>
        <v>2154.600000000006</v>
      </c>
      <c r="V104" s="74"/>
      <c r="W104" s="74">
        <f>195800-195800</f>
        <v>0</v>
      </c>
      <c r="X104" s="74">
        <f>52055.07-52055.07</f>
        <v>0</v>
      </c>
      <c r="Y104" s="22">
        <f t="shared" si="18"/>
        <v>540731.53</v>
      </c>
      <c r="Z104" s="68">
        <f t="shared" si="16"/>
        <v>0</v>
      </c>
    </row>
    <row r="105" spans="1:26" ht="27" customHeight="1">
      <c r="A105" s="1"/>
      <c r="B105" s="20"/>
      <c r="C105" s="54" t="s">
        <v>117</v>
      </c>
      <c r="D105" s="55">
        <f t="shared" si="20"/>
        <v>626000</v>
      </c>
      <c r="E105" s="56"/>
      <c r="F105" s="55">
        <f t="shared" si="21"/>
        <v>626000</v>
      </c>
      <c r="G105" s="51">
        <f>560000-67000+133000</f>
        <v>626000</v>
      </c>
      <c r="H105" s="51">
        <f>30355.2+405000</f>
        <v>435355.2</v>
      </c>
      <c r="I105" s="41">
        <f t="shared" si="17"/>
        <v>69.54555910543131</v>
      </c>
      <c r="J105" s="72">
        <f t="shared" si="19"/>
        <v>75.63502432244614</v>
      </c>
      <c r="L105" s="65">
        <f t="shared" si="15"/>
        <v>-140244.8</v>
      </c>
      <c r="M105" s="74"/>
      <c r="N105" s="74"/>
      <c r="O105" s="74">
        <v>56000</v>
      </c>
      <c r="P105" s="74">
        <f>504000-67000</f>
        <v>437000</v>
      </c>
      <c r="Q105" s="74">
        <v>-280341</v>
      </c>
      <c r="R105" s="74">
        <f>42051.15-50400</f>
        <v>-8348.849999999999</v>
      </c>
      <c r="S105" s="74">
        <f>238289.85</f>
        <v>238289.85</v>
      </c>
      <c r="T105" s="80">
        <f>133000</f>
        <v>133000</v>
      </c>
      <c r="U105" s="74">
        <f>392000-392000+202551-202551</f>
        <v>0</v>
      </c>
      <c r="V105" s="74">
        <f>28400</f>
        <v>28400</v>
      </c>
      <c r="W105" s="74">
        <f>112000-112000+77790-77790</f>
        <v>0</v>
      </c>
      <c r="X105" s="74">
        <f>22000</f>
        <v>22000</v>
      </c>
      <c r="Y105" s="22">
        <f t="shared" si="18"/>
        <v>626000</v>
      </c>
      <c r="Z105" s="68">
        <f t="shared" si="16"/>
        <v>0</v>
      </c>
    </row>
    <row r="106" spans="1:26" ht="26.25" customHeight="1">
      <c r="A106" s="1"/>
      <c r="B106" s="20"/>
      <c r="C106" s="54" t="s">
        <v>166</v>
      </c>
      <c r="D106" s="55">
        <f>G106</f>
        <v>100000</v>
      </c>
      <c r="E106" s="56"/>
      <c r="F106" s="55">
        <f>G106</f>
        <v>100000</v>
      </c>
      <c r="G106" s="51">
        <v>100000</v>
      </c>
      <c r="H106" s="22"/>
      <c r="I106" s="42">
        <f>H106/D106*100</f>
        <v>0</v>
      </c>
      <c r="J106" s="72">
        <f t="shared" si="19"/>
        <v>0</v>
      </c>
      <c r="L106" s="65">
        <f t="shared" si="15"/>
        <v>-80000</v>
      </c>
      <c r="M106" s="73"/>
      <c r="N106" s="73"/>
      <c r="O106" s="73"/>
      <c r="P106" s="73"/>
      <c r="Q106" s="73"/>
      <c r="R106" s="73"/>
      <c r="S106" s="73">
        <v>10000</v>
      </c>
      <c r="T106" s="79">
        <v>70000</v>
      </c>
      <c r="U106" s="73"/>
      <c r="V106" s="73">
        <v>20000</v>
      </c>
      <c r="W106" s="73"/>
      <c r="X106" s="73"/>
      <c r="Y106" s="22">
        <f>SUM(M106:X106)</f>
        <v>100000</v>
      </c>
      <c r="Z106" s="68">
        <f t="shared" si="16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72" t="e">
        <f t="shared" si="19"/>
        <v>#DIV/0!</v>
      </c>
      <c r="L107" s="65">
        <f t="shared" si="15"/>
        <v>0</v>
      </c>
      <c r="M107" s="73"/>
      <c r="N107" s="75">
        <v>134745</v>
      </c>
      <c r="O107" s="73"/>
      <c r="P107" s="73"/>
      <c r="Q107" s="73"/>
      <c r="R107" s="73"/>
      <c r="S107" s="73"/>
      <c r="T107" s="79">
        <f>-134745</f>
        <v>-134745</v>
      </c>
      <c r="U107" s="73"/>
      <c r="V107" s="73"/>
      <c r="W107" s="73"/>
      <c r="X107" s="73"/>
      <c r="Y107" s="22">
        <f t="shared" si="18"/>
        <v>0</v>
      </c>
      <c r="Z107" s="68">
        <f t="shared" si="16"/>
        <v>0</v>
      </c>
    </row>
    <row r="108" spans="1:26" ht="63" customHeight="1">
      <c r="A108" s="1"/>
      <c r="B108" s="20"/>
      <c r="C108" s="54" t="s">
        <v>195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72">
        <f t="shared" si="19"/>
        <v>67.5113624034045</v>
      </c>
      <c r="L108" s="65">
        <f t="shared" si="15"/>
        <v>-134745</v>
      </c>
      <c r="M108" s="73"/>
      <c r="N108" s="73"/>
      <c r="O108" s="73">
        <v>240000</v>
      </c>
      <c r="P108" s="73">
        <f>11600</f>
        <v>11600</v>
      </c>
      <c r="Q108" s="73"/>
      <c r="R108" s="73">
        <f>28400</f>
        <v>28400</v>
      </c>
      <c r="S108" s="73"/>
      <c r="T108" s="79">
        <f>134745</f>
        <v>134745</v>
      </c>
      <c r="U108" s="73"/>
      <c r="V108" s="73">
        <f>81200-28400</f>
        <v>52800</v>
      </c>
      <c r="W108" s="73">
        <v>1080000</v>
      </c>
      <c r="X108" s="73">
        <f>1103200</f>
        <v>1103200</v>
      </c>
      <c r="Y108" s="22">
        <f t="shared" si="18"/>
        <v>2650745</v>
      </c>
      <c r="Z108" s="68">
        <f t="shared" si="16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2034000</v>
      </c>
      <c r="E109" s="56"/>
      <c r="F109" s="55">
        <f t="shared" si="23"/>
        <v>2034000</v>
      </c>
      <c r="G109" s="51">
        <v>2034000</v>
      </c>
      <c r="H109" s="51">
        <f>57425.03+133991.74</f>
        <v>191416.77</v>
      </c>
      <c r="I109" s="41">
        <f t="shared" si="17"/>
        <v>9.410853982300885</v>
      </c>
      <c r="J109" s="72">
        <f t="shared" si="19"/>
        <v>94.10853982300884</v>
      </c>
      <c r="L109" s="65">
        <f t="shared" si="15"/>
        <v>-11983.23000000001</v>
      </c>
      <c r="M109" s="73"/>
      <c r="N109" s="73"/>
      <c r="O109" s="73">
        <v>203400</v>
      </c>
      <c r="P109" s="73"/>
      <c r="Q109" s="73"/>
      <c r="R109" s="73"/>
      <c r="S109" s="73"/>
      <c r="T109" s="79"/>
      <c r="U109" s="73"/>
      <c r="V109" s="73"/>
      <c r="W109" s="73">
        <v>915300</v>
      </c>
      <c r="X109" s="73">
        <v>915300</v>
      </c>
      <c r="Y109" s="22">
        <f t="shared" si="18"/>
        <v>2034000</v>
      </c>
      <c r="Z109" s="68">
        <f t="shared" si="16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</f>
        <v>3339487.82</v>
      </c>
      <c r="I110" s="41">
        <f t="shared" si="17"/>
        <v>98.1116434957428</v>
      </c>
      <c r="J110" s="72">
        <f t="shared" si="19"/>
        <v>100</v>
      </c>
      <c r="L110" s="65">
        <f t="shared" si="15"/>
        <v>0</v>
      </c>
      <c r="M110" s="73"/>
      <c r="N110" s="73"/>
      <c r="O110" s="73">
        <f>1100000</f>
        <v>1100000</v>
      </c>
      <c r="P110" s="73">
        <f>2401000</f>
        <v>2401000</v>
      </c>
      <c r="Q110" s="73"/>
      <c r="R110" s="73">
        <f>-161512.18</f>
        <v>-161512.18</v>
      </c>
      <c r="S110" s="73"/>
      <c r="T110" s="79">
        <f>1100000-1100000</f>
        <v>0</v>
      </c>
      <c r="U110" s="73"/>
      <c r="V110" s="73"/>
      <c r="W110" s="73">
        <f>1201000-1201000</f>
        <v>0</v>
      </c>
      <c r="X110" s="73">
        <f>161512.18-97237</f>
        <v>64275.17999999999</v>
      </c>
      <c r="Y110" s="22">
        <f t="shared" si="18"/>
        <v>3403763</v>
      </c>
      <c r="Z110" s="68">
        <f t="shared" si="16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72">
        <f t="shared" si="19"/>
        <v>99.65545591748457</v>
      </c>
      <c r="L111" s="65">
        <f t="shared" si="15"/>
        <v>-5442.020000000019</v>
      </c>
      <c r="M111" s="73"/>
      <c r="N111" s="73"/>
      <c r="O111" s="73">
        <v>76700</v>
      </c>
      <c r="P111" s="73">
        <f>1395300</f>
        <v>1395300</v>
      </c>
      <c r="Q111" s="73"/>
      <c r="R111" s="73"/>
      <c r="S111" s="73">
        <f>107484.39</f>
        <v>107484.39</v>
      </c>
      <c r="T111" s="79"/>
      <c r="U111" s="73"/>
      <c r="V111" s="73"/>
      <c r="W111" s="73"/>
      <c r="X111" s="73"/>
      <c r="Y111" s="22">
        <f t="shared" si="18"/>
        <v>1579484.39</v>
      </c>
      <c r="Z111" s="68">
        <f t="shared" si="16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72">
        <f t="shared" si="19"/>
        <v>100</v>
      </c>
      <c r="L112" s="65">
        <f t="shared" si="15"/>
        <v>0</v>
      </c>
      <c r="M112" s="73"/>
      <c r="N112" s="73"/>
      <c r="O112" s="73">
        <f>118000</f>
        <v>118000</v>
      </c>
      <c r="P112" s="73"/>
      <c r="Q112" s="73"/>
      <c r="R112" s="73">
        <f>249000-220000+22000</f>
        <v>51000</v>
      </c>
      <c r="S112" s="73"/>
      <c r="T112" s="79"/>
      <c r="U112" s="73">
        <f>36700-36700</f>
        <v>0</v>
      </c>
      <c r="V112" s="73">
        <f>256900-118000-138900</f>
        <v>0</v>
      </c>
      <c r="W112" s="73"/>
      <c r="X112" s="73">
        <f>73400-73400+220000-22000</f>
        <v>198000</v>
      </c>
      <c r="Y112" s="22">
        <f t="shared" si="18"/>
        <v>367000</v>
      </c>
      <c r="Z112" s="68">
        <f t="shared" si="16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72">
        <f t="shared" si="19"/>
        <v>97.89684229390681</v>
      </c>
      <c r="L113" s="65">
        <f t="shared" si="15"/>
        <v>-17603.429999999935</v>
      </c>
      <c r="M113" s="73"/>
      <c r="N113" s="73"/>
      <c r="O113" s="73">
        <f>44000</f>
        <v>44000</v>
      </c>
      <c r="P113" s="73">
        <f>793000</f>
        <v>793000</v>
      </c>
      <c r="Q113" s="73"/>
      <c r="R113" s="73"/>
      <c r="S113" s="73"/>
      <c r="T113" s="79"/>
      <c r="U113" s="73"/>
      <c r="V113" s="73"/>
      <c r="W113" s="73"/>
      <c r="X113" s="73"/>
      <c r="Y113" s="22">
        <f t="shared" si="18"/>
        <v>837000</v>
      </c>
      <c r="Z113" s="68">
        <f t="shared" si="16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300000</v>
      </c>
      <c r="E114" s="56"/>
      <c r="F114" s="55">
        <f t="shared" si="23"/>
        <v>300000</v>
      </c>
      <c r="G114" s="51">
        <f>767000-467000</f>
        <v>300000</v>
      </c>
      <c r="H114" s="51">
        <f>15000+11000</f>
        <v>26000</v>
      </c>
      <c r="I114" s="41">
        <f t="shared" si="17"/>
        <v>8.666666666666668</v>
      </c>
      <c r="J114" s="72">
        <f t="shared" si="19"/>
        <v>12.206572769953052</v>
      </c>
      <c r="L114" s="65">
        <f t="shared" si="15"/>
        <v>-187000</v>
      </c>
      <c r="M114" s="73"/>
      <c r="N114" s="73"/>
      <c r="O114" s="73">
        <f>26000</f>
        <v>26000</v>
      </c>
      <c r="P114" s="73">
        <f>274000</f>
        <v>274000</v>
      </c>
      <c r="Q114" s="73"/>
      <c r="R114" s="73">
        <f>-270000</f>
        <v>-270000</v>
      </c>
      <c r="S114" s="73"/>
      <c r="T114" s="79"/>
      <c r="U114" s="73">
        <f>183000</f>
        <v>183000</v>
      </c>
      <c r="V114" s="73"/>
      <c r="W114" s="73"/>
      <c r="X114" s="73">
        <f>270000-183000</f>
        <v>87000</v>
      </c>
      <c r="Y114" s="22">
        <f t="shared" si="18"/>
        <v>300000</v>
      </c>
      <c r="Z114" s="68">
        <f t="shared" si="16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72">
        <f t="shared" si="19"/>
        <v>0</v>
      </c>
      <c r="L115" s="65">
        <f t="shared" si="15"/>
        <v>-70000</v>
      </c>
      <c r="M115" s="73"/>
      <c r="N115" s="75">
        <v>70000</v>
      </c>
      <c r="O115" s="73"/>
      <c r="P115" s="73"/>
      <c r="Q115" s="73"/>
      <c r="R115" s="73"/>
      <c r="S115" s="73"/>
      <c r="T115" s="79"/>
      <c r="U115" s="73"/>
      <c r="V115" s="73"/>
      <c r="W115" s="73"/>
      <c r="X115" s="73"/>
      <c r="Y115" s="22">
        <f t="shared" si="18"/>
        <v>70000</v>
      </c>
      <c r="Z115" s="68">
        <f t="shared" si="16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5">G116</f>
        <v>918900</v>
      </c>
      <c r="E116" s="56"/>
      <c r="F116" s="55">
        <f aca="true" t="shared" si="25" ref="F116:F145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72">
        <f t="shared" si="19"/>
        <v>34.638950073047425</v>
      </c>
      <c r="L116" s="65">
        <f t="shared" si="15"/>
        <v>-128310.80000000005</v>
      </c>
      <c r="M116" s="73"/>
      <c r="N116" s="73"/>
      <c r="O116" s="73"/>
      <c r="P116" s="73">
        <f>9653</f>
        <v>9653</v>
      </c>
      <c r="Q116" s="73"/>
      <c r="R116" s="73">
        <f>909247-722589.2</f>
        <v>186657.80000000005</v>
      </c>
      <c r="S116" s="73"/>
      <c r="T116" s="79">
        <f>76700-76700</f>
        <v>0</v>
      </c>
      <c r="U116" s="73">
        <f>67081-67081</f>
        <v>0</v>
      </c>
      <c r="V116" s="73">
        <f>536900-536900</f>
        <v>0</v>
      </c>
      <c r="W116" s="73">
        <f>75166-75166</f>
        <v>0</v>
      </c>
      <c r="X116" s="73">
        <f>153400-153400+722589.2</f>
        <v>722589.2</v>
      </c>
      <c r="Y116" s="22">
        <f t="shared" si="18"/>
        <v>918900</v>
      </c>
      <c r="Z116" s="68">
        <f t="shared" si="16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72">
        <f t="shared" si="19"/>
        <v>99.60202979780065</v>
      </c>
      <c r="L117" s="65">
        <f t="shared" si="15"/>
        <v>-5609.389999999898</v>
      </c>
      <c r="M117" s="73"/>
      <c r="N117" s="73"/>
      <c r="O117" s="73">
        <v>900000</v>
      </c>
      <c r="P117" s="73">
        <f>-900000</f>
        <v>-900000</v>
      </c>
      <c r="Q117" s="73"/>
      <c r="R117" s="73">
        <v>573500</v>
      </c>
      <c r="S117" s="74">
        <f>836000</f>
        <v>836000</v>
      </c>
      <c r="T117" s="80"/>
      <c r="U117" s="74"/>
      <c r="V117" s="74"/>
      <c r="W117" s="74">
        <f>900000-64000-836000</f>
        <v>0</v>
      </c>
      <c r="X117" s="74"/>
      <c r="Y117" s="22">
        <f t="shared" si="18"/>
        <v>1409500</v>
      </c>
      <c r="Z117" s="68">
        <f t="shared" si="16"/>
        <v>0</v>
      </c>
    </row>
    <row r="118" spans="1:26" ht="27.75" customHeight="1">
      <c r="A118" s="1"/>
      <c r="B118" s="20"/>
      <c r="C118" s="54" t="s">
        <v>124</v>
      </c>
      <c r="D118" s="55">
        <f t="shared" si="24"/>
        <v>6345598</v>
      </c>
      <c r="E118" s="56"/>
      <c r="F118" s="55">
        <f t="shared" si="25"/>
        <v>6345598</v>
      </c>
      <c r="G118" s="51">
        <f>4555598+290000+1500000</f>
        <v>6345598</v>
      </c>
      <c r="H118" s="51">
        <f>1339880+284982.79+729917+12975.28+802117+33772+1104914+333262+432700+1793.44+297957</f>
        <v>5374270.510000001</v>
      </c>
      <c r="I118" s="41">
        <f t="shared" si="17"/>
        <v>84.69289277385678</v>
      </c>
      <c r="J118" s="72">
        <f t="shared" si="19"/>
        <v>87.32026254552238</v>
      </c>
      <c r="L118" s="65">
        <f t="shared" si="15"/>
        <v>-780395.4899999993</v>
      </c>
      <c r="M118" s="73"/>
      <c r="N118" s="73"/>
      <c r="O118" s="73">
        <v>2200000</v>
      </c>
      <c r="P118" s="73">
        <f>1190000</f>
        <v>1190000</v>
      </c>
      <c r="Q118" s="73"/>
      <c r="R118" s="73">
        <f>1455598</f>
        <v>1455598</v>
      </c>
      <c r="S118" s="73">
        <f>250000</f>
        <v>250000</v>
      </c>
      <c r="T118" s="79">
        <f>2355598-900000-1455598+609068-250000</f>
        <v>359068</v>
      </c>
      <c r="U118" s="73">
        <f>700000</f>
        <v>700000</v>
      </c>
      <c r="V118" s="73">
        <f>190932</f>
        <v>190932</v>
      </c>
      <c r="W118" s="73"/>
      <c r="X118" s="73"/>
      <c r="Y118" s="22">
        <f t="shared" si="18"/>
        <v>6345598</v>
      </c>
      <c r="Z118" s="68">
        <f t="shared" si="16"/>
        <v>0</v>
      </c>
    </row>
    <row r="119" spans="1:26" ht="31.5" customHeight="1">
      <c r="A119" s="1"/>
      <c r="B119" s="20"/>
      <c r="C119" s="54" t="s">
        <v>125</v>
      </c>
      <c r="D119" s="55">
        <f t="shared" si="24"/>
        <v>5206455</v>
      </c>
      <c r="E119" s="56"/>
      <c r="F119" s="55">
        <f t="shared" si="25"/>
        <v>5206455</v>
      </c>
      <c r="G119" s="51">
        <v>5206455</v>
      </c>
      <c r="H119" s="51">
        <f>2533359+1399329+550855.11+46763.54</f>
        <v>4530306.65</v>
      </c>
      <c r="I119" s="41">
        <f t="shared" si="17"/>
        <v>87.01326814502383</v>
      </c>
      <c r="J119" s="72">
        <f t="shared" si="19"/>
        <v>87.01326814502383</v>
      </c>
      <c r="L119" s="65">
        <f t="shared" si="15"/>
        <v>-676148.3499999996</v>
      </c>
      <c r="M119" s="73"/>
      <c r="N119" s="73"/>
      <c r="O119" s="73">
        <v>2550000</v>
      </c>
      <c r="P119" s="73"/>
      <c r="Q119" s="73">
        <v>2656455</v>
      </c>
      <c r="R119" s="73"/>
      <c r="S119" s="73"/>
      <c r="T119" s="79"/>
      <c r="U119" s="73"/>
      <c r="V119" s="73"/>
      <c r="W119" s="73"/>
      <c r="X119" s="73"/>
      <c r="Y119" s="22">
        <f t="shared" si="18"/>
        <v>5206455</v>
      </c>
      <c r="Z119" s="68">
        <f t="shared" si="16"/>
        <v>0</v>
      </c>
    </row>
    <row r="120" spans="1:26" ht="33" customHeight="1">
      <c r="A120" s="1"/>
      <c r="B120" s="20"/>
      <c r="C120" s="54" t="s">
        <v>126</v>
      </c>
      <c r="D120" s="55">
        <f t="shared" si="24"/>
        <v>4678629</v>
      </c>
      <c r="E120" s="56"/>
      <c r="F120" s="55">
        <f t="shared" si="25"/>
        <v>4678629</v>
      </c>
      <c r="G120" s="51">
        <v>4678629</v>
      </c>
      <c r="H120" s="51">
        <f>2293500</f>
        <v>2293500</v>
      </c>
      <c r="I120" s="41">
        <f t="shared" si="17"/>
        <v>49.02077082837729</v>
      </c>
      <c r="J120" s="72">
        <f t="shared" si="19"/>
        <v>89.94117647058823</v>
      </c>
      <c r="L120" s="65">
        <f t="shared" si="15"/>
        <v>-256500</v>
      </c>
      <c r="M120" s="73"/>
      <c r="N120" s="73"/>
      <c r="O120" s="73"/>
      <c r="P120" s="73"/>
      <c r="Q120" s="73"/>
      <c r="R120" s="73"/>
      <c r="S120" s="74">
        <f>1790000-1790000</f>
        <v>0</v>
      </c>
      <c r="T120" s="80">
        <f>2300000</f>
        <v>2300000</v>
      </c>
      <c r="U120" s="74">
        <v>250000</v>
      </c>
      <c r="V120" s="74">
        <f>2378629-2300000</f>
        <v>78629</v>
      </c>
      <c r="W120" s="74"/>
      <c r="X120" s="74">
        <f>260000+1790000</f>
        <v>2050000</v>
      </c>
      <c r="Y120" s="22">
        <f t="shared" si="18"/>
        <v>4678629</v>
      </c>
      <c r="Z120" s="68">
        <f t="shared" si="16"/>
        <v>0</v>
      </c>
    </row>
    <row r="121" spans="1:26" ht="26.25" customHeight="1">
      <c r="A121" s="1"/>
      <c r="B121" s="20"/>
      <c r="C121" s="54" t="s">
        <v>196</v>
      </c>
      <c r="D121" s="55">
        <f>G121</f>
        <v>200000</v>
      </c>
      <c r="E121" s="56"/>
      <c r="F121" s="55">
        <f>G121</f>
        <v>200000</v>
      </c>
      <c r="G121" s="51">
        <v>200000</v>
      </c>
      <c r="H121" s="22"/>
      <c r="I121" s="42">
        <f>H121/D121*100</f>
        <v>0</v>
      </c>
      <c r="J121" s="72">
        <f t="shared" si="19"/>
        <v>0</v>
      </c>
      <c r="L121" s="65">
        <f t="shared" si="15"/>
        <v>-160000</v>
      </c>
      <c r="M121" s="73"/>
      <c r="N121" s="73"/>
      <c r="O121" s="73"/>
      <c r="P121" s="73"/>
      <c r="Q121" s="73"/>
      <c r="R121" s="73"/>
      <c r="S121" s="73">
        <v>20000</v>
      </c>
      <c r="T121" s="79">
        <v>140000</v>
      </c>
      <c r="U121" s="73"/>
      <c r="V121" s="73">
        <v>40000</v>
      </c>
      <c r="W121" s="73"/>
      <c r="X121" s="73"/>
      <c r="Y121" s="22">
        <f>SUM(M121:X121)</f>
        <v>200000</v>
      </c>
      <c r="Z121" s="68">
        <f>Y121-D121</f>
        <v>0</v>
      </c>
    </row>
    <row r="122" spans="1:26" ht="28.5" customHeight="1">
      <c r="A122" s="1"/>
      <c r="B122" s="20"/>
      <c r="C122" s="54" t="s">
        <v>152</v>
      </c>
      <c r="D122" s="55">
        <f t="shared" si="24"/>
        <v>443000</v>
      </c>
      <c r="E122" s="56"/>
      <c r="F122" s="55">
        <f t="shared" si="25"/>
        <v>443000</v>
      </c>
      <c r="G122" s="51">
        <f>367000+76000</f>
        <v>443000</v>
      </c>
      <c r="H122" s="51">
        <f>34000+24000+80000+69000</f>
        <v>207000</v>
      </c>
      <c r="I122" s="41">
        <f t="shared" si="17"/>
        <v>46.72686230248307</v>
      </c>
      <c r="J122" s="72">
        <f t="shared" si="19"/>
        <v>58.40857787810384</v>
      </c>
      <c r="L122" s="65">
        <f t="shared" si="15"/>
        <v>-147400</v>
      </c>
      <c r="M122" s="73"/>
      <c r="N122" s="73"/>
      <c r="O122" s="73">
        <f>58000</f>
        <v>58000</v>
      </c>
      <c r="P122" s="73">
        <f>7600</f>
        <v>7600</v>
      </c>
      <c r="Q122" s="73">
        <f>288800</f>
        <v>288800</v>
      </c>
      <c r="R122" s="73"/>
      <c r="S122" s="73"/>
      <c r="T122" s="79"/>
      <c r="U122" s="73">
        <f>36700-36700</f>
        <v>0</v>
      </c>
      <c r="V122" s="73">
        <f>252100-252100</f>
        <v>0</v>
      </c>
      <c r="W122" s="73"/>
      <c r="X122" s="73">
        <f>88600</f>
        <v>88600</v>
      </c>
      <c r="Y122" s="22">
        <f t="shared" si="18"/>
        <v>443000</v>
      </c>
      <c r="Z122" s="68">
        <f t="shared" si="16"/>
        <v>0</v>
      </c>
    </row>
    <row r="123" spans="1:26" ht="28.5" customHeight="1">
      <c r="A123" s="1"/>
      <c r="B123" s="20"/>
      <c r="C123" s="54" t="s">
        <v>127</v>
      </c>
      <c r="D123" s="55">
        <f t="shared" si="24"/>
        <v>3829000</v>
      </c>
      <c r="E123" s="56"/>
      <c r="F123" s="55">
        <f t="shared" si="25"/>
        <v>3829000</v>
      </c>
      <c r="G123" s="51">
        <v>3829000</v>
      </c>
      <c r="H123" s="51"/>
      <c r="I123" s="42">
        <f t="shared" si="17"/>
        <v>0</v>
      </c>
      <c r="J123" s="72" t="e">
        <f t="shared" si="19"/>
        <v>#DIV/0!</v>
      </c>
      <c r="L123" s="65">
        <f t="shared" si="15"/>
        <v>0</v>
      </c>
      <c r="M123" s="73"/>
      <c r="N123" s="73"/>
      <c r="O123" s="73"/>
      <c r="P123" s="73"/>
      <c r="Q123" s="73"/>
      <c r="R123" s="73"/>
      <c r="S123" s="74">
        <f>1800000-1800000</f>
        <v>0</v>
      </c>
      <c r="T123" s="80">
        <f>1800000-1800000</f>
        <v>0</v>
      </c>
      <c r="U123" s="74"/>
      <c r="V123" s="74">
        <f>2029000+1800000-3179707.24</f>
        <v>649292.7599999998</v>
      </c>
      <c r="W123" s="74">
        <f>3165057.24</f>
        <v>3165057.24</v>
      </c>
      <c r="X123" s="74">
        <f>14650</f>
        <v>14650</v>
      </c>
      <c r="Y123" s="22">
        <f t="shared" si="18"/>
        <v>3829000</v>
      </c>
      <c r="Z123" s="68">
        <f t="shared" si="16"/>
        <v>0</v>
      </c>
    </row>
    <row r="124" spans="1:26" ht="24" customHeight="1">
      <c r="A124" s="1"/>
      <c r="B124" s="20"/>
      <c r="C124" s="54" t="s">
        <v>128</v>
      </c>
      <c r="D124" s="55">
        <f t="shared" si="24"/>
        <v>3700000</v>
      </c>
      <c r="E124" s="56"/>
      <c r="F124" s="55">
        <f t="shared" si="25"/>
        <v>3700000</v>
      </c>
      <c r="G124" s="51">
        <v>3700000</v>
      </c>
      <c r="H124" s="51">
        <f>1800000+924034.8</f>
        <v>2724034.8</v>
      </c>
      <c r="I124" s="41">
        <f t="shared" si="17"/>
        <v>73.62256216216215</v>
      </c>
      <c r="J124" s="72">
        <f t="shared" si="19"/>
        <v>96.7889434612691</v>
      </c>
      <c r="L124" s="65">
        <f t="shared" si="15"/>
        <v>-90372.20000000019</v>
      </c>
      <c r="M124" s="73"/>
      <c r="N124" s="73"/>
      <c r="O124" s="73">
        <v>1800000</v>
      </c>
      <c r="P124" s="73"/>
      <c r="Q124" s="73"/>
      <c r="R124" s="73">
        <f>1900000-1900000</f>
        <v>0</v>
      </c>
      <c r="S124" s="73"/>
      <c r="T124" s="79">
        <f>1900000-944096.89</f>
        <v>955903.11</v>
      </c>
      <c r="U124" s="73">
        <f>58503.89</f>
        <v>58503.89</v>
      </c>
      <c r="V124" s="73">
        <f>885593</f>
        <v>885593</v>
      </c>
      <c r="W124" s="73"/>
      <c r="X124" s="73"/>
      <c r="Y124" s="22">
        <f t="shared" si="18"/>
        <v>3700000</v>
      </c>
      <c r="Z124" s="68">
        <f t="shared" si="16"/>
        <v>0</v>
      </c>
    </row>
    <row r="125" spans="1:26" ht="24" customHeight="1">
      <c r="A125" s="1"/>
      <c r="B125" s="20"/>
      <c r="C125" s="54" t="s">
        <v>129</v>
      </c>
      <c r="D125" s="55">
        <f t="shared" si="24"/>
        <v>516000</v>
      </c>
      <c r="E125" s="56"/>
      <c r="F125" s="55">
        <f t="shared" si="25"/>
        <v>516000</v>
      </c>
      <c r="G125" s="51">
        <f>400000+116000</f>
        <v>516000</v>
      </c>
      <c r="H125" s="51">
        <f>173000+308000</f>
        <v>481000</v>
      </c>
      <c r="I125" s="41">
        <f t="shared" si="17"/>
        <v>93.21705426356588</v>
      </c>
      <c r="J125" s="72">
        <f t="shared" si="19"/>
        <v>99.87541528239203</v>
      </c>
      <c r="L125" s="65">
        <f t="shared" si="15"/>
        <v>-600</v>
      </c>
      <c r="M125" s="73"/>
      <c r="N125" s="73"/>
      <c r="O125" s="74">
        <v>200000</v>
      </c>
      <c r="P125" s="74"/>
      <c r="Q125" s="74">
        <v>200000</v>
      </c>
      <c r="R125" s="74">
        <v>81600</v>
      </c>
      <c r="S125" s="74"/>
      <c r="T125" s="80"/>
      <c r="U125" s="74">
        <f>200000-200000</f>
        <v>0</v>
      </c>
      <c r="V125" s="74"/>
      <c r="W125" s="74">
        <v>34400</v>
      </c>
      <c r="X125" s="74"/>
      <c r="Y125" s="22">
        <f t="shared" si="18"/>
        <v>516000</v>
      </c>
      <c r="Z125" s="68">
        <f t="shared" si="16"/>
        <v>0</v>
      </c>
    </row>
    <row r="126" spans="1:26" ht="28.5" customHeight="1">
      <c r="A126" s="1"/>
      <c r="B126" s="20"/>
      <c r="C126" s="54" t="s">
        <v>130</v>
      </c>
      <c r="D126" s="55">
        <f t="shared" si="24"/>
        <v>6986700</v>
      </c>
      <c r="E126" s="56"/>
      <c r="F126" s="55">
        <f t="shared" si="25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7"/>
        <v>99.33251091359297</v>
      </c>
      <c r="J126" s="72">
        <f t="shared" si="19"/>
        <v>99.33251091359297</v>
      </c>
      <c r="L126" s="65">
        <f t="shared" si="15"/>
        <v>-46635.45999999996</v>
      </c>
      <c r="M126" s="73"/>
      <c r="N126" s="73"/>
      <c r="O126" s="74">
        <v>3290879</v>
      </c>
      <c r="P126" s="74">
        <f>860036+1603380.33</f>
        <v>2463416.33</v>
      </c>
      <c r="Q126" s="74">
        <f>506858-279453.33</f>
        <v>227404.66999999998</v>
      </c>
      <c r="R126" s="74">
        <f>600000-600000</f>
        <v>0</v>
      </c>
      <c r="S126" s="74">
        <f>600000-600000</f>
        <v>0</v>
      </c>
      <c r="T126" s="80">
        <f>123927-123927+760903.11+244096.89</f>
        <v>1005000</v>
      </c>
      <c r="U126" s="74">
        <f>58503.89-58503.89</f>
        <v>0</v>
      </c>
      <c r="V126" s="74">
        <f>185593-185593</f>
        <v>0</v>
      </c>
      <c r="W126" s="74"/>
      <c r="X126" s="74"/>
      <c r="Y126" s="22">
        <f t="shared" si="18"/>
        <v>6986700</v>
      </c>
      <c r="Z126" s="68">
        <f t="shared" si="16"/>
        <v>0</v>
      </c>
    </row>
    <row r="127" spans="1:26" ht="26.25" customHeight="1" hidden="1">
      <c r="A127" s="1"/>
      <c r="B127" s="20"/>
      <c r="C127" s="54" t="s">
        <v>131</v>
      </c>
      <c r="D127" s="55">
        <f t="shared" si="24"/>
        <v>0</v>
      </c>
      <c r="E127" s="56"/>
      <c r="F127" s="55">
        <f t="shared" si="25"/>
        <v>0</v>
      </c>
      <c r="G127" s="51">
        <f>935000-935000</f>
        <v>0</v>
      </c>
      <c r="H127" s="51" t="s">
        <v>144</v>
      </c>
      <c r="I127" s="42" t="e">
        <f t="shared" si="17"/>
        <v>#VALUE!</v>
      </c>
      <c r="J127" s="72" t="e">
        <f t="shared" si="19"/>
        <v>#VALUE!</v>
      </c>
      <c r="L127" s="65" t="e">
        <f t="shared" si="15"/>
        <v>#VALUE!</v>
      </c>
      <c r="M127" s="73"/>
      <c r="N127" s="73"/>
      <c r="O127" s="73">
        <v>47500</v>
      </c>
      <c r="P127" s="73"/>
      <c r="Q127" s="73"/>
      <c r="R127" s="73"/>
      <c r="S127" s="73">
        <f>466750-400000</f>
        <v>66750</v>
      </c>
      <c r="T127" s="73">
        <f>400000-483778.47-30471.53</f>
        <v>-114249.99999999997</v>
      </c>
      <c r="U127" s="73">
        <f>420750-292000-128750</f>
        <v>0</v>
      </c>
      <c r="V127" s="73">
        <f>775778.47-775778.47</f>
        <v>0</v>
      </c>
      <c r="W127" s="73"/>
      <c r="X127" s="73"/>
      <c r="Y127" s="22">
        <f t="shared" si="18"/>
        <v>2.9103830456733704E-11</v>
      </c>
      <c r="Z127" s="68">
        <f t="shared" si="16"/>
        <v>2.9103830456733704E-11</v>
      </c>
    </row>
    <row r="128" spans="1:26" ht="26.25" customHeight="1">
      <c r="A128" s="1"/>
      <c r="B128" s="20"/>
      <c r="C128" s="54" t="s">
        <v>132</v>
      </c>
      <c r="D128" s="55">
        <f t="shared" si="24"/>
        <v>1075266.75</v>
      </c>
      <c r="E128" s="56"/>
      <c r="F128" s="55">
        <f t="shared" si="25"/>
        <v>1075266.75</v>
      </c>
      <c r="G128" s="51">
        <f>1460000-100000-284733.25</f>
        <v>1075266.75</v>
      </c>
      <c r="H128" s="51">
        <f>29000+21000+500000</f>
        <v>550000</v>
      </c>
      <c r="I128" s="41">
        <f t="shared" si="17"/>
        <v>51.150098336064055</v>
      </c>
      <c r="J128" s="72">
        <f t="shared" si="19"/>
        <v>51.150098336064055</v>
      </c>
      <c r="L128" s="65">
        <f t="shared" si="15"/>
        <v>-525266.75</v>
      </c>
      <c r="M128" s="73"/>
      <c r="N128" s="73"/>
      <c r="O128" s="73">
        <v>73000</v>
      </c>
      <c r="P128" s="73"/>
      <c r="Q128" s="73"/>
      <c r="R128" s="73"/>
      <c r="S128" s="73">
        <v>730000</v>
      </c>
      <c r="T128" s="73"/>
      <c r="U128" s="73">
        <f>657000-100000-284733.25</f>
        <v>272266.75</v>
      </c>
      <c r="V128" s="73"/>
      <c r="W128" s="73"/>
      <c r="X128" s="73"/>
      <c r="Y128" s="22">
        <f t="shared" si="18"/>
        <v>1075266.75</v>
      </c>
      <c r="Z128" s="68">
        <f t="shared" si="16"/>
        <v>0</v>
      </c>
    </row>
    <row r="129" spans="1:26" ht="26.25" customHeight="1">
      <c r="A129" s="1"/>
      <c r="B129" s="20"/>
      <c r="C129" s="54" t="s">
        <v>133</v>
      </c>
      <c r="D129" s="55">
        <f t="shared" si="24"/>
        <v>1021000</v>
      </c>
      <c r="E129" s="56"/>
      <c r="F129" s="55">
        <f t="shared" si="25"/>
        <v>1021000</v>
      </c>
      <c r="G129" s="51">
        <f>1534000-513000</f>
        <v>1021000</v>
      </c>
      <c r="H129" s="51">
        <f>81000+59000+700000</f>
        <v>840000</v>
      </c>
      <c r="I129" s="41">
        <f t="shared" si="17"/>
        <v>82.27228207639568</v>
      </c>
      <c r="J129" s="72">
        <f t="shared" si="19"/>
        <v>82.27228207639568</v>
      </c>
      <c r="L129" s="65">
        <f t="shared" si="15"/>
        <v>-181000</v>
      </c>
      <c r="M129" s="73"/>
      <c r="N129" s="73"/>
      <c r="O129" s="73">
        <f>72400+67600</f>
        <v>140000</v>
      </c>
      <c r="P129" s="73"/>
      <c r="Q129" s="73"/>
      <c r="R129" s="73"/>
      <c r="S129" s="73">
        <f>771300-67600</f>
        <v>703700</v>
      </c>
      <c r="T129" s="73"/>
      <c r="U129" s="73">
        <f>690300-513000</f>
        <v>177300</v>
      </c>
      <c r="V129" s="73"/>
      <c r="W129" s="73"/>
      <c r="X129" s="73"/>
      <c r="Y129" s="22">
        <f t="shared" si="18"/>
        <v>1021000</v>
      </c>
      <c r="Z129" s="68">
        <f t="shared" si="16"/>
        <v>0</v>
      </c>
    </row>
    <row r="130" spans="1:26" ht="26.25" customHeight="1">
      <c r="A130" s="1"/>
      <c r="B130" s="20"/>
      <c r="C130" s="54" t="s">
        <v>171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2"/>
      <c r="I130" s="42">
        <f>H130/D130*100</f>
        <v>0</v>
      </c>
      <c r="J130" s="72">
        <f t="shared" si="19"/>
        <v>0</v>
      </c>
      <c r="L130" s="65">
        <f t="shared" si="15"/>
        <v>-100000</v>
      </c>
      <c r="M130" s="73"/>
      <c r="N130" s="73"/>
      <c r="O130" s="73"/>
      <c r="P130" s="73"/>
      <c r="Q130" s="73"/>
      <c r="R130" s="73"/>
      <c r="S130" s="73">
        <v>21000</v>
      </c>
      <c r="T130" s="73">
        <v>79000</v>
      </c>
      <c r="U130" s="73"/>
      <c r="V130" s="73">
        <f>42000-42000</f>
        <v>0</v>
      </c>
      <c r="W130" s="73"/>
      <c r="X130" s="73"/>
      <c r="Y130" s="22">
        <f t="shared" si="18"/>
        <v>100000</v>
      </c>
      <c r="Z130" s="68">
        <f t="shared" si="16"/>
        <v>0</v>
      </c>
    </row>
    <row r="131" spans="1:26" ht="26.25" customHeight="1">
      <c r="A131" s="1"/>
      <c r="B131" s="20"/>
      <c r="C131" s="54" t="s">
        <v>134</v>
      </c>
      <c r="D131" s="55">
        <f t="shared" si="24"/>
        <v>14747568</v>
      </c>
      <c r="E131" s="56"/>
      <c r="F131" s="55">
        <f t="shared" si="25"/>
        <v>14747568</v>
      </c>
      <c r="G131" s="51">
        <f>12352000-767000+2227568+935000</f>
        <v>14747568</v>
      </c>
      <c r="H131" s="51">
        <f>159000+364000+191373.72+137000+127000+2799619.35+230144.75+309727.82+3000000+700000+582880.42+1060000+31000+982087.2</f>
        <v>10673833.26</v>
      </c>
      <c r="I131" s="41">
        <f t="shared" si="17"/>
        <v>72.37690485644819</v>
      </c>
      <c r="J131" s="72">
        <f t="shared" si="19"/>
        <v>88.79354736844557</v>
      </c>
      <c r="L131" s="65">
        <f t="shared" si="15"/>
        <v>-1347122.7400000002</v>
      </c>
      <c r="M131" s="73"/>
      <c r="N131" s="73"/>
      <c r="O131" s="73">
        <f>4423300-3920000+3920000-105000-1100000-313600</f>
        <v>2904700</v>
      </c>
      <c r="P131" s="73">
        <f>-1363380.33</f>
        <v>-1363380.33</v>
      </c>
      <c r="Q131" s="73">
        <f>279453.33+2552462</f>
        <v>2831915.33</v>
      </c>
      <c r="R131" s="73">
        <f>600000-600000</f>
        <v>0</v>
      </c>
      <c r="S131" s="74">
        <f>419862+105000+67600+360000-952462+3590000+540000+1650000-836000-250000</f>
        <v>4694000</v>
      </c>
      <c r="T131" s="74">
        <f>2618790+1100000+123927-1000000-1800000-540000+1100000+250000+700000</f>
        <v>2552717</v>
      </c>
      <c r="U131" s="74">
        <f>199004+202000</f>
        <v>401004</v>
      </c>
      <c r="V131" s="74">
        <f>28348+246000+439068-700000+41554.92</f>
        <v>54970.92</v>
      </c>
      <c r="W131" s="74">
        <f>1472356+3920000-3920000-1016660+688500+836000+331000</f>
        <v>2311196</v>
      </c>
      <c r="X131" s="74">
        <f>2423340-1790000-633340+360445.08</f>
        <v>360445.08</v>
      </c>
      <c r="Y131" s="22">
        <f t="shared" si="18"/>
        <v>14747568</v>
      </c>
      <c r="Z131" s="68">
        <f t="shared" si="16"/>
        <v>0</v>
      </c>
    </row>
    <row r="132" spans="1:26" ht="26.25" customHeight="1">
      <c r="A132" s="1"/>
      <c r="B132" s="20"/>
      <c r="C132" s="54" t="s">
        <v>135</v>
      </c>
      <c r="D132" s="55">
        <f t="shared" si="24"/>
        <v>4013246.8</v>
      </c>
      <c r="E132" s="56"/>
      <c r="F132" s="55">
        <f t="shared" si="25"/>
        <v>4013246.8</v>
      </c>
      <c r="G132" s="51">
        <f>700000+2500000+523800+289446.8</f>
        <v>4013246.8</v>
      </c>
      <c r="H132" s="51">
        <f>178841+107000+461139+64000+76646.85+89000+1400000-251377+120837.08+251377+3138.13</f>
        <v>2500602.06</v>
      </c>
      <c r="I132" s="41">
        <f t="shared" si="17"/>
        <v>62.308703765739004</v>
      </c>
      <c r="J132" s="72">
        <f t="shared" si="19"/>
        <v>63.54541288656457</v>
      </c>
      <c r="L132" s="65">
        <f t="shared" si="15"/>
        <v>-1434539.67</v>
      </c>
      <c r="M132" s="73"/>
      <c r="N132" s="73"/>
      <c r="O132" s="73">
        <v>1700000</v>
      </c>
      <c r="P132" s="73">
        <f>400000-1000000</f>
        <v>-600000</v>
      </c>
      <c r="Q132" s="73">
        <f>350000+990000</f>
        <v>1340000</v>
      </c>
      <c r="R132" s="73">
        <f>400000-400000</f>
        <v>0</v>
      </c>
      <c r="S132" s="73">
        <f>350000+240000-590000</f>
        <v>0</v>
      </c>
      <c r="T132" s="73">
        <f>523800</f>
        <v>523800</v>
      </c>
      <c r="U132" s="73">
        <f>760000+211341.73</f>
        <v>971341.73</v>
      </c>
      <c r="V132" s="73">
        <f>78105.07</f>
        <v>78105.07</v>
      </c>
      <c r="W132" s="73"/>
      <c r="X132" s="73"/>
      <c r="Y132" s="22">
        <f t="shared" si="18"/>
        <v>4013246.8</v>
      </c>
      <c r="Z132" s="68">
        <f t="shared" si="16"/>
        <v>0</v>
      </c>
    </row>
    <row r="133" spans="1:26" ht="26.25" customHeight="1">
      <c r="A133" s="1"/>
      <c r="B133" s="20"/>
      <c r="C133" s="54" t="s">
        <v>136</v>
      </c>
      <c r="D133" s="55">
        <f t="shared" si="24"/>
        <v>33000</v>
      </c>
      <c r="E133" s="56"/>
      <c r="F133" s="55">
        <f t="shared" si="25"/>
        <v>33000</v>
      </c>
      <c r="G133" s="51">
        <v>33000</v>
      </c>
      <c r="H133" s="51"/>
      <c r="I133" s="42">
        <f t="shared" si="17"/>
        <v>0</v>
      </c>
      <c r="J133" s="72">
        <f t="shared" si="19"/>
        <v>0</v>
      </c>
      <c r="L133" s="65">
        <f t="shared" si="15"/>
        <v>-33000</v>
      </c>
      <c r="M133" s="73"/>
      <c r="N133" s="73"/>
      <c r="O133" s="73">
        <v>33000</v>
      </c>
      <c r="P133" s="73"/>
      <c r="Q133" s="73"/>
      <c r="R133" s="73"/>
      <c r="S133" s="73"/>
      <c r="T133" s="73"/>
      <c r="U133" s="73"/>
      <c r="V133" s="73"/>
      <c r="W133" s="73"/>
      <c r="X133" s="73"/>
      <c r="Y133" s="22">
        <f t="shared" si="18"/>
        <v>33000</v>
      </c>
      <c r="Z133" s="68">
        <f t="shared" si="16"/>
        <v>0</v>
      </c>
    </row>
    <row r="134" spans="1:26" ht="26.25" customHeight="1">
      <c r="A134" s="1"/>
      <c r="B134" s="20"/>
      <c r="C134" s="54" t="s">
        <v>137</v>
      </c>
      <c r="D134" s="55">
        <f t="shared" si="24"/>
        <v>116000</v>
      </c>
      <c r="E134" s="56"/>
      <c r="F134" s="55">
        <f t="shared" si="25"/>
        <v>116000</v>
      </c>
      <c r="G134" s="51">
        <v>116000</v>
      </c>
      <c r="H134" s="24"/>
      <c r="I134" s="42">
        <f t="shared" si="17"/>
        <v>0</v>
      </c>
      <c r="J134" s="72">
        <f t="shared" si="19"/>
        <v>0</v>
      </c>
      <c r="L134" s="65">
        <f t="shared" si="15"/>
        <v>-116000</v>
      </c>
      <c r="M134" s="73"/>
      <c r="N134" s="73"/>
      <c r="O134" s="73"/>
      <c r="P134" s="73"/>
      <c r="Q134" s="73"/>
      <c r="R134" s="73"/>
      <c r="S134" s="73"/>
      <c r="T134" s="73"/>
      <c r="U134" s="73">
        <v>116000</v>
      </c>
      <c r="V134" s="73"/>
      <c r="W134" s="73"/>
      <c r="X134" s="73"/>
      <c r="Y134" s="22">
        <f t="shared" si="18"/>
        <v>116000</v>
      </c>
      <c r="Z134" s="68">
        <f t="shared" si="16"/>
        <v>0</v>
      </c>
    </row>
    <row r="135" spans="1:26" ht="26.25" customHeight="1">
      <c r="A135" s="1"/>
      <c r="B135" s="20"/>
      <c r="C135" s="54" t="s">
        <v>172</v>
      </c>
      <c r="D135" s="55">
        <f t="shared" si="24"/>
        <v>200000</v>
      </c>
      <c r="E135" s="56"/>
      <c r="F135" s="55">
        <f t="shared" si="25"/>
        <v>200000</v>
      </c>
      <c r="G135" s="51">
        <v>200000</v>
      </c>
      <c r="H135" s="24"/>
      <c r="I135" s="42"/>
      <c r="J135" s="72" t="e">
        <f t="shared" si="19"/>
        <v>#DIV/0!</v>
      </c>
      <c r="L135" s="65">
        <f t="shared" si="15"/>
        <v>0</v>
      </c>
      <c r="M135" s="73"/>
      <c r="N135" s="73"/>
      <c r="O135" s="73"/>
      <c r="P135" s="73"/>
      <c r="Q135" s="73"/>
      <c r="R135" s="73"/>
      <c r="S135" s="73">
        <v>50000</v>
      </c>
      <c r="T135" s="73"/>
      <c r="U135" s="73">
        <f>150000-200000</f>
        <v>-50000</v>
      </c>
      <c r="V135" s="73"/>
      <c r="W135" s="73"/>
      <c r="X135" s="73">
        <f>200000</f>
        <v>200000</v>
      </c>
      <c r="Y135" s="22">
        <f t="shared" si="18"/>
        <v>200000</v>
      </c>
      <c r="Z135" s="68">
        <f t="shared" si="16"/>
        <v>0</v>
      </c>
    </row>
    <row r="136" spans="1:26" ht="26.25" customHeight="1">
      <c r="A136" s="1"/>
      <c r="B136" s="20"/>
      <c r="C136" s="54" t="s">
        <v>142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/>
      <c r="I136" s="42">
        <f t="shared" si="17"/>
        <v>0</v>
      </c>
      <c r="J136" s="72">
        <f t="shared" si="19"/>
        <v>0</v>
      </c>
      <c r="L136" s="65">
        <f t="shared" si="15"/>
        <v>-43884</v>
      </c>
      <c r="M136" s="73"/>
      <c r="N136" s="73"/>
      <c r="O136" s="73"/>
      <c r="P136" s="73"/>
      <c r="Q136" s="73"/>
      <c r="R136" s="73">
        <f>446000</f>
        <v>446000</v>
      </c>
      <c r="S136" s="73"/>
      <c r="T136" s="73"/>
      <c r="U136" s="73">
        <f>-402116</f>
        <v>-402116</v>
      </c>
      <c r="V136" s="73">
        <f>152144.93</f>
        <v>152144.93</v>
      </c>
      <c r="W136" s="73">
        <f>100000-100000+7971.07</f>
        <v>7971.07</v>
      </c>
      <c r="X136" s="73">
        <f>346000-346000+242000</f>
        <v>242000</v>
      </c>
      <c r="Y136" s="22">
        <f t="shared" si="18"/>
        <v>446000</v>
      </c>
      <c r="Z136" s="68">
        <f t="shared" si="16"/>
        <v>0</v>
      </c>
    </row>
    <row r="137" spans="1:26" ht="26.25" customHeight="1">
      <c r="A137" s="1"/>
      <c r="B137" s="20"/>
      <c r="C137" s="54" t="s">
        <v>143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7"/>
        <v>65.72917012987013</v>
      </c>
      <c r="J137" s="72">
        <f t="shared" si="19"/>
        <v>88.79203684210526</v>
      </c>
      <c r="L137" s="65">
        <f>H137-(M137+N137+O137+P137+Q137+R137+S137+T137+U137)</f>
        <v>-127770.78000000003</v>
      </c>
      <c r="M137" s="73"/>
      <c r="N137" s="73"/>
      <c r="O137" s="73"/>
      <c r="P137" s="73"/>
      <c r="Q137" s="73"/>
      <c r="R137" s="73">
        <f>1440000-400000</f>
        <v>1040000</v>
      </c>
      <c r="S137" s="73">
        <f>144000-144000</f>
        <v>0</v>
      </c>
      <c r="T137" s="73">
        <f>1008000-1008000+100000</f>
        <v>100000</v>
      </c>
      <c r="U137" s="73"/>
      <c r="V137" s="73">
        <f>288000-288000</f>
        <v>0</v>
      </c>
      <c r="W137" s="73"/>
      <c r="X137" s="73">
        <f>400000</f>
        <v>400000</v>
      </c>
      <c r="Y137" s="22">
        <f t="shared" si="18"/>
        <v>1540000</v>
      </c>
      <c r="Z137" s="68">
        <f t="shared" si="16"/>
        <v>0</v>
      </c>
    </row>
    <row r="138" spans="1:26" ht="26.25" customHeight="1">
      <c r="A138" s="1"/>
      <c r="B138" s="20"/>
      <c r="C138" s="54" t="s">
        <v>197</v>
      </c>
      <c r="D138" s="24">
        <f>E138+F138</f>
        <v>400000</v>
      </c>
      <c r="E138" s="26"/>
      <c r="F138" s="51">
        <v>400000</v>
      </c>
      <c r="G138" s="44">
        <f>F138</f>
        <v>400000</v>
      </c>
      <c r="H138" s="24">
        <f>300000</f>
        <v>300000</v>
      </c>
      <c r="I138" s="41">
        <f t="shared" si="17"/>
        <v>75</v>
      </c>
      <c r="J138" s="72">
        <f t="shared" si="19"/>
        <v>100</v>
      </c>
      <c r="L138" s="65">
        <f>H138-(M138+N138+O138+P138+Q138+R138+S138+T138+U138)</f>
        <v>0</v>
      </c>
      <c r="M138" s="73"/>
      <c r="N138" s="73"/>
      <c r="O138" s="73"/>
      <c r="P138" s="73"/>
      <c r="Q138" s="73"/>
      <c r="R138" s="73"/>
      <c r="S138" s="73"/>
      <c r="T138" s="73"/>
      <c r="U138" s="73">
        <f>300000</f>
        <v>300000</v>
      </c>
      <c r="V138" s="73">
        <f>152144.93-152144.93</f>
        <v>0</v>
      </c>
      <c r="W138" s="73">
        <f>195800-147855.07</f>
        <v>47944.92999999999</v>
      </c>
      <c r="X138" s="73">
        <f>52055.07</f>
        <v>52055.07</v>
      </c>
      <c r="Y138" s="22">
        <f t="shared" si="18"/>
        <v>400000</v>
      </c>
      <c r="Z138" s="68">
        <f t="shared" si="16"/>
        <v>0</v>
      </c>
    </row>
    <row r="139" spans="1:26" ht="26.25" customHeight="1">
      <c r="A139" s="1"/>
      <c r="B139" s="20"/>
      <c r="C139" s="54" t="s">
        <v>198</v>
      </c>
      <c r="D139" s="24">
        <f>E139+F139</f>
        <v>950000</v>
      </c>
      <c r="E139" s="26"/>
      <c r="F139" s="51">
        <v>950000</v>
      </c>
      <c r="G139" s="44">
        <f>F139</f>
        <v>950000</v>
      </c>
      <c r="H139" s="24"/>
      <c r="I139" s="41"/>
      <c r="J139" s="72">
        <f t="shared" si="19"/>
        <v>0</v>
      </c>
      <c r="L139" s="65">
        <f t="shared" si="15"/>
        <v>-50000</v>
      </c>
      <c r="M139" s="73"/>
      <c r="N139" s="73"/>
      <c r="O139" s="73"/>
      <c r="P139" s="73"/>
      <c r="Q139" s="73"/>
      <c r="R139" s="73"/>
      <c r="S139" s="73"/>
      <c r="T139" s="73"/>
      <c r="U139" s="73">
        <f>50000</f>
        <v>50000</v>
      </c>
      <c r="V139" s="73">
        <f>500000</f>
        <v>500000</v>
      </c>
      <c r="W139" s="73">
        <f>400000</f>
        <v>400000</v>
      </c>
      <c r="X139" s="73"/>
      <c r="Y139" s="22">
        <f t="shared" si="18"/>
        <v>950000</v>
      </c>
      <c r="Z139" s="68">
        <f t="shared" si="16"/>
        <v>0</v>
      </c>
    </row>
    <row r="140" spans="1:26" ht="26.25" customHeight="1">
      <c r="A140" s="1"/>
      <c r="B140" s="20"/>
      <c r="C140" s="54" t="s">
        <v>138</v>
      </c>
      <c r="D140" s="55">
        <f t="shared" si="24"/>
        <v>474101</v>
      </c>
      <c r="E140" s="56"/>
      <c r="F140" s="55">
        <f t="shared" si="25"/>
        <v>474101</v>
      </c>
      <c r="G140" s="51">
        <f>722000-247899</f>
        <v>474101</v>
      </c>
      <c r="H140" s="24">
        <f>283637+170080</f>
        <v>453717</v>
      </c>
      <c r="I140" s="41">
        <f t="shared" si="17"/>
        <v>95.70049419849357</v>
      </c>
      <c r="J140" s="72">
        <f t="shared" si="19"/>
        <v>100</v>
      </c>
      <c r="L140" s="65">
        <f t="shared" si="15"/>
        <v>0</v>
      </c>
      <c r="M140" s="73"/>
      <c r="N140" s="73"/>
      <c r="O140" s="73">
        <f>361000+105000</f>
        <v>466000</v>
      </c>
      <c r="P140" s="73"/>
      <c r="Q140" s="73"/>
      <c r="R140" s="73">
        <v>26500</v>
      </c>
      <c r="S140" s="73">
        <f>334500-105000-247899</f>
        <v>-18399</v>
      </c>
      <c r="T140" s="73"/>
      <c r="U140" s="73">
        <f>-20384</f>
        <v>-20384</v>
      </c>
      <c r="V140" s="73"/>
      <c r="W140" s="73">
        <f>20384</f>
        <v>20384</v>
      </c>
      <c r="X140" s="73"/>
      <c r="Y140" s="22">
        <f t="shared" si="18"/>
        <v>474101</v>
      </c>
      <c r="Z140" s="68">
        <f t="shared" si="16"/>
        <v>0</v>
      </c>
    </row>
    <row r="141" spans="1:26" ht="26.25" customHeight="1">
      <c r="A141" s="1"/>
      <c r="B141" s="20"/>
      <c r="C141" s="54" t="s">
        <v>173</v>
      </c>
      <c r="D141" s="55">
        <f t="shared" si="24"/>
        <v>150000</v>
      </c>
      <c r="E141" s="56"/>
      <c r="F141" s="55">
        <f t="shared" si="25"/>
        <v>150000</v>
      </c>
      <c r="G141" s="51">
        <v>150000</v>
      </c>
      <c r="H141" s="24"/>
      <c r="I141" s="41"/>
      <c r="J141" s="72">
        <f t="shared" si="19"/>
        <v>0</v>
      </c>
      <c r="L141" s="65">
        <f t="shared" si="15"/>
        <v>-103000</v>
      </c>
      <c r="M141" s="73"/>
      <c r="N141" s="73"/>
      <c r="O141" s="73"/>
      <c r="P141" s="73"/>
      <c r="Q141" s="73"/>
      <c r="R141" s="73"/>
      <c r="S141" s="73">
        <v>50000</v>
      </c>
      <c r="T141" s="73"/>
      <c r="U141" s="73">
        <f>100000-47000</f>
        <v>53000</v>
      </c>
      <c r="V141" s="73"/>
      <c r="W141" s="73">
        <f>47000</f>
        <v>47000</v>
      </c>
      <c r="X141" s="73"/>
      <c r="Y141" s="22">
        <f t="shared" si="18"/>
        <v>150000</v>
      </c>
      <c r="Z141" s="68">
        <f t="shared" si="16"/>
        <v>0</v>
      </c>
    </row>
    <row r="142" spans="1:26" ht="26.25" customHeight="1">
      <c r="A142" s="1"/>
      <c r="B142" s="20"/>
      <c r="C142" s="54" t="s">
        <v>139</v>
      </c>
      <c r="D142" s="55">
        <f t="shared" si="24"/>
        <v>72500</v>
      </c>
      <c r="E142" s="56"/>
      <c r="F142" s="55">
        <f t="shared" si="25"/>
        <v>72500</v>
      </c>
      <c r="G142" s="51">
        <v>72500</v>
      </c>
      <c r="H142" s="24"/>
      <c r="I142" s="42">
        <f t="shared" si="17"/>
        <v>0</v>
      </c>
      <c r="J142" s="72" t="e">
        <f t="shared" si="19"/>
        <v>#DIV/0!</v>
      </c>
      <c r="L142" s="65">
        <f t="shared" si="15"/>
        <v>0</v>
      </c>
      <c r="M142" s="73"/>
      <c r="N142" s="73"/>
      <c r="O142" s="73">
        <v>72500</v>
      </c>
      <c r="P142" s="73"/>
      <c r="Q142" s="73"/>
      <c r="R142" s="73"/>
      <c r="S142" s="73"/>
      <c r="T142" s="73"/>
      <c r="U142" s="73">
        <f>-72500</f>
        <v>-72500</v>
      </c>
      <c r="V142" s="73"/>
      <c r="W142" s="73">
        <f>72500</f>
        <v>72500</v>
      </c>
      <c r="X142" s="73"/>
      <c r="Y142" s="22">
        <f t="shared" si="18"/>
        <v>72500</v>
      </c>
      <c r="Z142" s="68">
        <f t="shared" si="16"/>
        <v>0</v>
      </c>
    </row>
    <row r="143" spans="1:26" ht="23.25" customHeight="1">
      <c r="A143" s="1"/>
      <c r="B143" s="20"/>
      <c r="C143" s="54" t="s">
        <v>157</v>
      </c>
      <c r="D143" s="55">
        <f>G143</f>
        <v>117000</v>
      </c>
      <c r="E143" s="56"/>
      <c r="F143" s="55">
        <f>G143</f>
        <v>117000</v>
      </c>
      <c r="G143" s="51">
        <v>117000</v>
      </c>
      <c r="H143" s="51"/>
      <c r="I143" s="42">
        <f>H143/D143*100</f>
        <v>0</v>
      </c>
      <c r="J143" s="72">
        <f t="shared" si="19"/>
        <v>0</v>
      </c>
      <c r="L143" s="65">
        <f t="shared" si="15"/>
        <v>-117000</v>
      </c>
      <c r="M143" s="73"/>
      <c r="N143" s="73"/>
      <c r="O143" s="73"/>
      <c r="P143" s="73"/>
      <c r="Q143" s="73"/>
      <c r="R143" s="73">
        <f>117000</f>
        <v>117000</v>
      </c>
      <c r="S143" s="73"/>
      <c r="T143" s="73"/>
      <c r="U143" s="73"/>
      <c r="V143" s="73">
        <f>117000-117000</f>
        <v>0</v>
      </c>
      <c r="W143" s="73"/>
      <c r="X143" s="73"/>
      <c r="Y143" s="22">
        <f t="shared" si="18"/>
        <v>117000</v>
      </c>
      <c r="Z143" s="68">
        <f t="shared" si="16"/>
        <v>0</v>
      </c>
    </row>
    <row r="144" spans="1:26" ht="25.5" customHeight="1">
      <c r="A144" s="1"/>
      <c r="B144" s="20"/>
      <c r="C144" s="54" t="s">
        <v>158</v>
      </c>
      <c r="D144" s="55">
        <f>G144</f>
        <v>116000</v>
      </c>
      <c r="E144" s="56"/>
      <c r="F144" s="55">
        <f>G144</f>
        <v>116000</v>
      </c>
      <c r="G144" s="51">
        <v>116000</v>
      </c>
      <c r="H144" s="51"/>
      <c r="I144" s="42">
        <f>H144/D144*100</f>
        <v>0</v>
      </c>
      <c r="J144" s="72">
        <f t="shared" si="19"/>
        <v>0</v>
      </c>
      <c r="L144" s="65">
        <f t="shared" si="15"/>
        <v>-116000</v>
      </c>
      <c r="M144" s="73"/>
      <c r="N144" s="73"/>
      <c r="O144" s="73"/>
      <c r="P144" s="73"/>
      <c r="Q144" s="73"/>
      <c r="R144" s="73">
        <f>116000</f>
        <v>116000</v>
      </c>
      <c r="S144" s="73"/>
      <c r="T144" s="73"/>
      <c r="U144" s="73">
        <f>116000-116000</f>
        <v>0</v>
      </c>
      <c r="V144" s="73"/>
      <c r="W144" s="73"/>
      <c r="X144" s="73"/>
      <c r="Y144" s="22">
        <f t="shared" si="18"/>
        <v>116000</v>
      </c>
      <c r="Z144" s="68">
        <f t="shared" si="16"/>
        <v>0</v>
      </c>
    </row>
    <row r="145" spans="1:26" ht="26.25" customHeight="1">
      <c r="A145" s="1"/>
      <c r="B145" s="20"/>
      <c r="C145" s="54" t="s">
        <v>140</v>
      </c>
      <c r="D145" s="55">
        <f t="shared" si="24"/>
        <v>714000</v>
      </c>
      <c r="E145" s="56"/>
      <c r="F145" s="55">
        <f t="shared" si="25"/>
        <v>714000</v>
      </c>
      <c r="G145" s="51">
        <f>357000+357000</f>
        <v>714000</v>
      </c>
      <c r="H145" s="24">
        <f>77000</f>
        <v>77000</v>
      </c>
      <c r="I145" s="41">
        <f t="shared" si="17"/>
        <v>10.784313725490197</v>
      </c>
      <c r="J145" s="72">
        <f t="shared" si="19"/>
        <v>21.153846153846153</v>
      </c>
      <c r="L145" s="65">
        <f>H145-(M145+N145+O145+P145+Q145+R145+S145+T145+U145)</f>
        <v>-287000</v>
      </c>
      <c r="M145" s="73"/>
      <c r="N145" s="73"/>
      <c r="O145" s="73"/>
      <c r="P145" s="73">
        <f>35700</f>
        <v>35700</v>
      </c>
      <c r="Q145" s="73"/>
      <c r="R145" s="73">
        <f>678300-350000</f>
        <v>328300</v>
      </c>
      <c r="S145" s="73"/>
      <c r="T145" s="73"/>
      <c r="U145" s="73">
        <f>357000-357000</f>
        <v>0</v>
      </c>
      <c r="V145" s="73">
        <f>249900-249900</f>
        <v>0</v>
      </c>
      <c r="W145" s="73"/>
      <c r="X145" s="73">
        <f>71400-71400+350000</f>
        <v>350000</v>
      </c>
      <c r="Y145" s="22">
        <f t="shared" si="18"/>
        <v>714000</v>
      </c>
      <c r="Z145" s="68">
        <f t="shared" si="16"/>
        <v>0</v>
      </c>
    </row>
    <row r="146" spans="1:26" ht="36" customHeight="1">
      <c r="A146" s="82" t="s">
        <v>64</v>
      </c>
      <c r="B146" s="82"/>
      <c r="C146" s="82"/>
      <c r="D146" s="82"/>
      <c r="E146" s="82"/>
      <c r="F146" s="82"/>
      <c r="G146" s="82"/>
      <c r="H146" s="82"/>
      <c r="I146" s="82"/>
      <c r="J146" s="82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22"/>
      <c r="Z146" s="68">
        <f>Y146-D146</f>
        <v>0</v>
      </c>
    </row>
    <row r="147" spans="1:26" ht="18.75">
      <c r="A147" s="16">
        <v>2</v>
      </c>
      <c r="B147" s="17"/>
      <c r="C147" s="18" t="s">
        <v>26</v>
      </c>
      <c r="D147" s="19">
        <f>D148</f>
        <v>147702000</v>
      </c>
      <c r="E147" s="19"/>
      <c r="F147" s="19">
        <f>F148</f>
        <v>147702000</v>
      </c>
      <c r="G147" s="19">
        <f>G148</f>
        <v>147702000</v>
      </c>
      <c r="H147" s="19">
        <f>H148</f>
        <v>70911382.58</v>
      </c>
      <c r="I147" s="38">
        <f>H147/D147*100</f>
        <v>48.00976464773666</v>
      </c>
      <c r="J147" s="38">
        <f>H147/(N147+O147+P147+Q147+R147+S147+T147+U147)*100</f>
        <v>71.914693231145</v>
      </c>
      <c r="K147" s="64"/>
      <c r="L147" s="65">
        <f>H147-(M147+N147+O147+P147+Q147+R147+S147+T147+U147)</f>
        <v>-27693477.42</v>
      </c>
      <c r="M147" s="66">
        <f>SUM(M148:M181)</f>
        <v>0</v>
      </c>
      <c r="N147" s="66">
        <f aca="true" t="shared" si="26" ref="N147:X147">SUM(N148:N181)</f>
        <v>1600000</v>
      </c>
      <c r="O147" s="66">
        <f t="shared" si="26"/>
        <v>28719871.54</v>
      </c>
      <c r="P147" s="66">
        <f t="shared" si="26"/>
        <v>16291625</v>
      </c>
      <c r="Q147" s="66">
        <f t="shared" si="26"/>
        <v>6529200</v>
      </c>
      <c r="R147" s="66">
        <f t="shared" si="26"/>
        <v>3392528.46</v>
      </c>
      <c r="S147" s="66">
        <f t="shared" si="26"/>
        <v>12752595</v>
      </c>
      <c r="T147" s="66">
        <f t="shared" si="26"/>
        <v>19079605</v>
      </c>
      <c r="U147" s="66">
        <f t="shared" si="26"/>
        <v>10239435</v>
      </c>
      <c r="V147" s="66">
        <f t="shared" si="26"/>
        <v>11272700</v>
      </c>
      <c r="W147" s="66">
        <f t="shared" si="26"/>
        <v>21354240</v>
      </c>
      <c r="X147" s="66">
        <f t="shared" si="26"/>
        <v>16470200</v>
      </c>
      <c r="Y147" s="66">
        <f>SUM(Y148:Y181)</f>
        <v>147702000</v>
      </c>
      <c r="Z147" s="68">
        <f>Y147-D147</f>
        <v>0</v>
      </c>
    </row>
    <row r="148" spans="1:25" ht="21" customHeight="1">
      <c r="A148" s="45"/>
      <c r="B148" s="45"/>
      <c r="C148" s="21" t="s">
        <v>30</v>
      </c>
      <c r="D148" s="52">
        <f>SUM(D149:D181)</f>
        <v>147702000</v>
      </c>
      <c r="E148" s="52"/>
      <c r="F148" s="52">
        <f>SUM(F149:F181)</f>
        <v>147702000</v>
      </c>
      <c r="G148" s="52">
        <f>SUM(G149:G181)</f>
        <v>147702000</v>
      </c>
      <c r="H148" s="52">
        <f>SUM(H149:H181)</f>
        <v>70911382.58</v>
      </c>
      <c r="I148" s="53">
        <f>H148/D148*100</f>
        <v>48.00976464773666</v>
      </c>
      <c r="J148" s="76">
        <f>H148/(N147+O147+P147+Q147+R147+S147+T147+U147)*100</f>
        <v>71.914693231145</v>
      </c>
      <c r="L148" s="65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22"/>
    </row>
    <row r="149" spans="1:26" ht="37.5" customHeight="1">
      <c r="A149" s="45"/>
      <c r="B149" s="45"/>
      <c r="C149" s="23" t="s">
        <v>145</v>
      </c>
      <c r="D149" s="49">
        <f>F149</f>
        <v>5000</v>
      </c>
      <c r="E149" s="52"/>
      <c r="F149" s="49">
        <f>G149</f>
        <v>5000</v>
      </c>
      <c r="G149" s="49">
        <v>5000</v>
      </c>
      <c r="H149" s="52"/>
      <c r="I149" s="53"/>
      <c r="J149" s="72">
        <f>H149/(N149+O149+P149+Q149+R149+S149+T149+U149)*100</f>
        <v>0</v>
      </c>
      <c r="L149" s="65">
        <f>H149-(M149+N149+O149+P149+Q149+R149+S149+T149+U149)</f>
        <v>-5000</v>
      </c>
      <c r="M149" s="71"/>
      <c r="N149" s="71"/>
      <c r="O149" s="71"/>
      <c r="P149" s="71"/>
      <c r="Q149" s="71"/>
      <c r="R149" s="71"/>
      <c r="S149" s="71"/>
      <c r="T149" s="71">
        <v>5000</v>
      </c>
      <c r="U149" s="71"/>
      <c r="V149" s="71"/>
      <c r="W149" s="71"/>
      <c r="X149" s="71"/>
      <c r="Y149" s="22">
        <f>SUM(M149:X149)</f>
        <v>5000</v>
      </c>
      <c r="Z149" s="68">
        <f>Y149-D149</f>
        <v>0</v>
      </c>
    </row>
    <row r="150" spans="1:26" ht="26.25" customHeight="1">
      <c r="A150" s="1"/>
      <c r="B150" s="20"/>
      <c r="C150" s="46" t="s">
        <v>35</v>
      </c>
      <c r="D150" s="49">
        <f>F150</f>
        <v>900000</v>
      </c>
      <c r="E150" s="26"/>
      <c r="F150" s="49">
        <f>G150</f>
        <v>900000</v>
      </c>
      <c r="G150" s="49">
        <v>900000</v>
      </c>
      <c r="H150" s="24"/>
      <c r="I150" s="41"/>
      <c r="J150" s="72">
        <f aca="true" t="shared" si="27" ref="J150:J181">H150/(N150+O150+P150+Q150+R150+S150+T150+U150)*100</f>
        <v>0</v>
      </c>
      <c r="L150" s="65">
        <f aca="true" t="shared" si="28" ref="L150:L182">H150-(M150+N150+O150+P150+Q150+R150+S150+T150+U150)</f>
        <v>-50000</v>
      </c>
      <c r="M150" s="71"/>
      <c r="N150" s="71"/>
      <c r="O150" s="71"/>
      <c r="P150" s="71"/>
      <c r="Q150" s="71"/>
      <c r="R150" s="71"/>
      <c r="S150" s="71"/>
      <c r="T150" s="71">
        <v>50000</v>
      </c>
      <c r="U150" s="71"/>
      <c r="V150" s="71">
        <v>400000</v>
      </c>
      <c r="W150" s="71">
        <v>450000</v>
      </c>
      <c r="X150" s="71"/>
      <c r="Y150" s="22">
        <f>SUM(M150:X150)</f>
        <v>900000</v>
      </c>
      <c r="Z150" s="68">
        <f>Y150-D150</f>
        <v>0</v>
      </c>
    </row>
    <row r="151" spans="1:26" ht="26.25" customHeight="1">
      <c r="A151" s="1"/>
      <c r="B151" s="20"/>
      <c r="C151" s="58" t="s">
        <v>174</v>
      </c>
      <c r="D151" s="49">
        <f>F151</f>
        <v>1000000</v>
      </c>
      <c r="E151" s="26"/>
      <c r="F151" s="49">
        <f>G151</f>
        <v>1000000</v>
      </c>
      <c r="G151" s="49">
        <f>1000000</f>
        <v>1000000</v>
      </c>
      <c r="H151" s="24"/>
      <c r="I151" s="59">
        <f>H151/G151*100</f>
        <v>0</v>
      </c>
      <c r="J151" s="72">
        <f t="shared" si="27"/>
        <v>0</v>
      </c>
      <c r="L151" s="65">
        <f t="shared" si="28"/>
        <v>-1000000</v>
      </c>
      <c r="M151" s="71"/>
      <c r="N151" s="71"/>
      <c r="O151" s="71"/>
      <c r="P151" s="71"/>
      <c r="Q151" s="71"/>
      <c r="R151" s="71"/>
      <c r="S151" s="71"/>
      <c r="T151" s="49"/>
      <c r="U151" s="49">
        <v>1000000</v>
      </c>
      <c r="V151" s="49"/>
      <c r="W151" s="49"/>
      <c r="X151" s="49"/>
      <c r="Y151" s="22">
        <f>SUM(M151:X151)</f>
        <v>1000000</v>
      </c>
      <c r="Z151" s="68">
        <f>Y151-D151</f>
        <v>0</v>
      </c>
    </row>
    <row r="152" spans="1:26" ht="26.25" customHeight="1">
      <c r="A152" s="1"/>
      <c r="B152" s="20"/>
      <c r="C152" s="46" t="s">
        <v>36</v>
      </c>
      <c r="D152" s="49">
        <f aca="true" t="shared" si="29" ref="D152:D181">F152</f>
        <v>300000</v>
      </c>
      <c r="E152" s="26"/>
      <c r="F152" s="49">
        <f aca="true" t="shared" si="30" ref="F152:F181">G152</f>
        <v>300000</v>
      </c>
      <c r="G152" s="49">
        <f>11000000-10700000</f>
        <v>300000</v>
      </c>
      <c r="H152" s="49">
        <f>200000+56746</f>
        <v>256746</v>
      </c>
      <c r="I152" s="43">
        <f>H152/G152*100</f>
        <v>85.58200000000001</v>
      </c>
      <c r="J152" s="72">
        <f t="shared" si="27"/>
        <v>85.58200000000001</v>
      </c>
      <c r="L152" s="65">
        <f t="shared" si="28"/>
        <v>-43254</v>
      </c>
      <c r="M152" s="71"/>
      <c r="N152" s="71"/>
      <c r="O152" s="71"/>
      <c r="P152" s="71"/>
      <c r="Q152" s="49">
        <v>200000</v>
      </c>
      <c r="R152" s="49"/>
      <c r="S152" s="49">
        <f>200000-200000+57000</f>
        <v>57000</v>
      </c>
      <c r="T152" s="49"/>
      <c r="U152" s="49">
        <f>5400000-57000-5300000</f>
        <v>43000</v>
      </c>
      <c r="V152" s="49"/>
      <c r="W152" s="49">
        <f>2700000-2700000</f>
        <v>0</v>
      </c>
      <c r="X152" s="49">
        <f>2700000-2700000</f>
        <v>0</v>
      </c>
      <c r="Y152" s="22">
        <f aca="true" t="shared" si="31" ref="Y152:Y181">SUM(M152:X152)</f>
        <v>300000</v>
      </c>
      <c r="Z152" s="68">
        <f>Y152-D152</f>
        <v>0</v>
      </c>
    </row>
    <row r="153" spans="1:26" ht="18.75">
      <c r="A153" s="1"/>
      <c r="B153" s="20"/>
      <c r="C153" s="46" t="s">
        <v>160</v>
      </c>
      <c r="D153" s="24">
        <f>E153+F153</f>
        <v>500000</v>
      </c>
      <c r="E153" s="26"/>
      <c r="F153" s="49">
        <v>500000</v>
      </c>
      <c r="G153" s="44">
        <f>F153</f>
        <v>500000</v>
      </c>
      <c r="J153" s="72" t="e">
        <f t="shared" si="27"/>
        <v>#DIV/0!</v>
      </c>
      <c r="L153" s="65">
        <f t="shared" si="28"/>
        <v>0</v>
      </c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49">
        <v>500000</v>
      </c>
      <c r="X153" s="77"/>
      <c r="Y153" s="22">
        <f t="shared" si="31"/>
        <v>500000</v>
      </c>
      <c r="Z153" s="68">
        <f aca="true" t="shared" si="32" ref="Z153:Z181">Y153-D153</f>
        <v>0</v>
      </c>
    </row>
    <row r="154" spans="1:26" ht="28.5" customHeight="1">
      <c r="A154" s="1"/>
      <c r="B154" s="20"/>
      <c r="C154" s="46" t="s">
        <v>37</v>
      </c>
      <c r="D154" s="49">
        <f t="shared" si="29"/>
        <v>1000000</v>
      </c>
      <c r="E154" s="26"/>
      <c r="F154" s="49">
        <f t="shared" si="30"/>
        <v>1000000</v>
      </c>
      <c r="G154" s="49">
        <v>1000000</v>
      </c>
      <c r="H154" s="24"/>
      <c r="I154" s="41"/>
      <c r="J154" s="72">
        <f t="shared" si="27"/>
        <v>0</v>
      </c>
      <c r="L154" s="65">
        <f t="shared" si="28"/>
        <v>-500000</v>
      </c>
      <c r="M154" s="71"/>
      <c r="N154" s="71"/>
      <c r="O154" s="71"/>
      <c r="P154" s="71"/>
      <c r="Q154" s="71"/>
      <c r="R154" s="71"/>
      <c r="S154" s="71"/>
      <c r="T154" s="71"/>
      <c r="U154" s="71">
        <v>500000</v>
      </c>
      <c r="V154" s="71"/>
      <c r="W154" s="71"/>
      <c r="X154" s="71">
        <v>500000</v>
      </c>
      <c r="Y154" s="22">
        <f t="shared" si="31"/>
        <v>1000000</v>
      </c>
      <c r="Z154" s="68">
        <f t="shared" si="32"/>
        <v>0</v>
      </c>
    </row>
    <row r="155" spans="1:26" ht="24.75" customHeight="1">
      <c r="A155" s="1"/>
      <c r="B155" s="20"/>
      <c r="C155" s="46" t="s">
        <v>38</v>
      </c>
      <c r="D155" s="49">
        <f t="shared" si="29"/>
        <v>500000</v>
      </c>
      <c r="E155" s="26"/>
      <c r="F155" s="49">
        <f t="shared" si="30"/>
        <v>500000</v>
      </c>
      <c r="G155" s="49">
        <v>500000</v>
      </c>
      <c r="H155" s="24">
        <f>20944</f>
        <v>20944</v>
      </c>
      <c r="I155" s="43">
        <f>H155/G155*100</f>
        <v>4.1888000000000005</v>
      </c>
      <c r="J155" s="72">
        <f t="shared" si="27"/>
        <v>95.19999999999999</v>
      </c>
      <c r="L155" s="65">
        <f t="shared" si="28"/>
        <v>-1056</v>
      </c>
      <c r="M155" s="71"/>
      <c r="N155" s="71"/>
      <c r="O155" s="71"/>
      <c r="P155" s="71"/>
      <c r="Q155" s="49">
        <v>22000</v>
      </c>
      <c r="R155" s="49"/>
      <c r="S155" s="49"/>
      <c r="T155" s="49"/>
      <c r="U155" s="49"/>
      <c r="V155" s="49"/>
      <c r="W155" s="49">
        <f>250000-22000</f>
        <v>228000</v>
      </c>
      <c r="X155" s="49">
        <v>250000</v>
      </c>
      <c r="Y155" s="22">
        <f t="shared" si="31"/>
        <v>500000</v>
      </c>
      <c r="Z155" s="68">
        <f t="shared" si="32"/>
        <v>0</v>
      </c>
    </row>
    <row r="156" spans="1:26" ht="24.75" customHeight="1">
      <c r="A156" s="1"/>
      <c r="B156" s="20"/>
      <c r="C156" s="46" t="s">
        <v>39</v>
      </c>
      <c r="D156" s="49">
        <f t="shared" si="29"/>
        <v>8750000</v>
      </c>
      <c r="E156" s="26"/>
      <c r="F156" s="49">
        <f t="shared" si="30"/>
        <v>8750000</v>
      </c>
      <c r="G156" s="49">
        <v>8750000</v>
      </c>
      <c r="H156" s="49">
        <f>1500000+2300000+351862.03+904224.19+42056.74</f>
        <v>5098142.960000001</v>
      </c>
      <c r="I156" s="43">
        <f>H156/G156*100</f>
        <v>58.264490971428586</v>
      </c>
      <c r="J156" s="72">
        <f t="shared" si="27"/>
        <v>58.264490971428586</v>
      </c>
      <c r="L156" s="65">
        <f t="shared" si="28"/>
        <v>-3651857.039999999</v>
      </c>
      <c r="M156" s="71"/>
      <c r="N156" s="71"/>
      <c r="O156" s="71">
        <f>4375000-2875000</f>
        <v>1500000</v>
      </c>
      <c r="P156" s="71"/>
      <c r="Q156" s="71"/>
      <c r="R156" s="71">
        <v>2700000</v>
      </c>
      <c r="S156" s="71">
        <f>2000000+2091666.54-2700000</f>
        <v>1391666.54</v>
      </c>
      <c r="T156" s="49">
        <f>2375000+783333.46-34000</f>
        <v>3124333.46</v>
      </c>
      <c r="U156" s="49">
        <v>34000</v>
      </c>
      <c r="V156" s="49"/>
      <c r="W156" s="49"/>
      <c r="X156" s="49"/>
      <c r="Y156" s="22">
        <f t="shared" si="31"/>
        <v>8750000</v>
      </c>
      <c r="Z156" s="68">
        <f t="shared" si="32"/>
        <v>0</v>
      </c>
    </row>
    <row r="157" spans="1:26" ht="26.25" customHeight="1">
      <c r="A157" s="1"/>
      <c r="B157" s="20"/>
      <c r="C157" s="46" t="s">
        <v>40</v>
      </c>
      <c r="D157" s="49">
        <f t="shared" si="29"/>
        <v>8600000</v>
      </c>
      <c r="E157" s="26"/>
      <c r="F157" s="49">
        <f t="shared" si="30"/>
        <v>8600000</v>
      </c>
      <c r="G157" s="49">
        <v>8600000</v>
      </c>
      <c r="H157" s="49">
        <f>3300000+3111386.39+40091.81-1500000+630117.4+60+1232608.92+47937.46</f>
        <v>6862201.98</v>
      </c>
      <c r="I157" s="43">
        <f>H157/G157*100</f>
        <v>79.79304627906977</v>
      </c>
      <c r="J157" s="72">
        <f t="shared" si="27"/>
        <v>79.79304627906977</v>
      </c>
      <c r="L157" s="65">
        <f t="shared" si="28"/>
        <v>-1737798.0199999996</v>
      </c>
      <c r="M157" s="71"/>
      <c r="N157" s="71"/>
      <c r="O157" s="71">
        <f>4300000-1000000</f>
        <v>3300000</v>
      </c>
      <c r="P157" s="71"/>
      <c r="Q157" s="71">
        <v>3152000</v>
      </c>
      <c r="R157" s="71"/>
      <c r="S157" s="71">
        <v>2000000</v>
      </c>
      <c r="T157" s="71">
        <v>148000</v>
      </c>
      <c r="U157" s="71"/>
      <c r="V157" s="71"/>
      <c r="W157" s="71"/>
      <c r="X157" s="71"/>
      <c r="Y157" s="22">
        <f t="shared" si="31"/>
        <v>8600000</v>
      </c>
      <c r="Z157" s="68">
        <f t="shared" si="32"/>
        <v>0</v>
      </c>
    </row>
    <row r="158" spans="1:26" ht="26.25" customHeight="1">
      <c r="A158" s="1"/>
      <c r="B158" s="20"/>
      <c r="C158" s="46" t="s">
        <v>41</v>
      </c>
      <c r="D158" s="49">
        <f t="shared" si="29"/>
        <v>5000000</v>
      </c>
      <c r="E158" s="26"/>
      <c r="F158" s="49">
        <f t="shared" si="30"/>
        <v>5000000</v>
      </c>
      <c r="G158" s="49">
        <v>5000000</v>
      </c>
      <c r="H158" s="49">
        <f>400000</f>
        <v>400000</v>
      </c>
      <c r="I158" s="43">
        <f>H158/G158*100</f>
        <v>8</v>
      </c>
      <c r="J158" s="72">
        <f t="shared" si="27"/>
        <v>57.14285714285714</v>
      </c>
      <c r="L158" s="65">
        <f t="shared" si="28"/>
        <v>-300000</v>
      </c>
      <c r="M158" s="71"/>
      <c r="N158" s="71"/>
      <c r="O158" s="71"/>
      <c r="P158" s="71"/>
      <c r="Q158" s="71"/>
      <c r="R158" s="71">
        <f>400000</f>
        <v>400000</v>
      </c>
      <c r="S158" s="71">
        <f>350000-350000</f>
        <v>0</v>
      </c>
      <c r="T158" s="71">
        <f>350000-50000</f>
        <v>300000</v>
      </c>
      <c r="U158" s="71"/>
      <c r="V158" s="71">
        <v>2150000</v>
      </c>
      <c r="W158" s="71">
        <v>2150000</v>
      </c>
      <c r="X158" s="71"/>
      <c r="Y158" s="22">
        <f t="shared" si="31"/>
        <v>5000000</v>
      </c>
      <c r="Z158" s="68">
        <f t="shared" si="32"/>
        <v>0</v>
      </c>
    </row>
    <row r="159" spans="1:26" ht="24" customHeight="1">
      <c r="A159" s="1"/>
      <c r="B159" s="20"/>
      <c r="C159" s="46" t="s">
        <v>42</v>
      </c>
      <c r="D159" s="49">
        <f t="shared" si="29"/>
        <v>7700000</v>
      </c>
      <c r="E159" s="26"/>
      <c r="F159" s="49">
        <f t="shared" si="30"/>
        <v>7700000</v>
      </c>
      <c r="G159" s="49">
        <v>7700000</v>
      </c>
      <c r="H159" s="49">
        <f>43461.4</f>
        <v>43461.4</v>
      </c>
      <c r="I159" s="43">
        <f>H159/G159*100</f>
        <v>0.5644337662337662</v>
      </c>
      <c r="J159" s="72">
        <f t="shared" si="27"/>
        <v>1.1072968152866243</v>
      </c>
      <c r="L159" s="65">
        <f t="shared" si="28"/>
        <v>-3881538.6</v>
      </c>
      <c r="M159" s="71"/>
      <c r="N159" s="71"/>
      <c r="O159" s="71"/>
      <c r="P159" s="71"/>
      <c r="Q159" s="71"/>
      <c r="R159" s="71">
        <f>45000</f>
        <v>45000</v>
      </c>
      <c r="S159" s="71">
        <f>150000-45000</f>
        <v>105000</v>
      </c>
      <c r="T159" s="71"/>
      <c r="U159" s="71">
        <v>3775000</v>
      </c>
      <c r="V159" s="71"/>
      <c r="W159" s="71">
        <v>714800</v>
      </c>
      <c r="X159" s="71">
        <v>3060200</v>
      </c>
      <c r="Y159" s="22">
        <f t="shared" si="31"/>
        <v>7700000</v>
      </c>
      <c r="Z159" s="68">
        <f t="shared" si="32"/>
        <v>0</v>
      </c>
    </row>
    <row r="160" spans="1:26" ht="21" customHeight="1">
      <c r="A160" s="1"/>
      <c r="B160" s="20"/>
      <c r="C160" s="46" t="s">
        <v>43</v>
      </c>
      <c r="D160" s="49">
        <f t="shared" si="29"/>
        <v>1000000</v>
      </c>
      <c r="E160" s="26"/>
      <c r="F160" s="49">
        <f t="shared" si="30"/>
        <v>1000000</v>
      </c>
      <c r="G160" s="49">
        <v>1000000</v>
      </c>
      <c r="H160" s="49"/>
      <c r="I160" s="43"/>
      <c r="J160" s="72">
        <f t="shared" si="27"/>
        <v>0</v>
      </c>
      <c r="L160" s="65">
        <f t="shared" si="28"/>
        <v>-300000</v>
      </c>
      <c r="M160" s="71"/>
      <c r="N160" s="71"/>
      <c r="O160" s="71"/>
      <c r="P160" s="71"/>
      <c r="Q160" s="71"/>
      <c r="R160" s="71"/>
      <c r="S160" s="71"/>
      <c r="T160" s="71"/>
      <c r="U160" s="71">
        <v>300000</v>
      </c>
      <c r="V160" s="71"/>
      <c r="W160" s="71">
        <v>700000</v>
      </c>
      <c r="X160" s="71"/>
      <c r="Y160" s="22">
        <f t="shared" si="31"/>
        <v>1000000</v>
      </c>
      <c r="Z160" s="68">
        <f t="shared" si="32"/>
        <v>0</v>
      </c>
    </row>
    <row r="161" spans="1:26" ht="24" customHeight="1">
      <c r="A161" s="1"/>
      <c r="B161" s="20"/>
      <c r="C161" s="46" t="s">
        <v>44</v>
      </c>
      <c r="D161" s="49">
        <f t="shared" si="29"/>
        <v>500000</v>
      </c>
      <c r="E161" s="26"/>
      <c r="F161" s="49">
        <f t="shared" si="30"/>
        <v>500000</v>
      </c>
      <c r="G161" s="49">
        <v>500000</v>
      </c>
      <c r="H161" s="49"/>
      <c r="I161" s="43"/>
      <c r="J161" s="72">
        <f t="shared" si="27"/>
        <v>0</v>
      </c>
      <c r="L161" s="65">
        <f t="shared" si="28"/>
        <v>-250000</v>
      </c>
      <c r="M161" s="71"/>
      <c r="N161" s="71"/>
      <c r="O161" s="71"/>
      <c r="P161" s="71"/>
      <c r="Q161" s="71"/>
      <c r="R161" s="71"/>
      <c r="S161" s="71"/>
      <c r="T161" s="71"/>
      <c r="U161" s="71">
        <v>250000</v>
      </c>
      <c r="V161" s="71"/>
      <c r="W161" s="71">
        <v>250000</v>
      </c>
      <c r="X161" s="71"/>
      <c r="Y161" s="22">
        <f t="shared" si="31"/>
        <v>500000</v>
      </c>
      <c r="Z161" s="68">
        <f t="shared" si="32"/>
        <v>0</v>
      </c>
    </row>
    <row r="162" spans="1:26" ht="24.75" customHeight="1">
      <c r="A162" s="1"/>
      <c r="B162" s="20"/>
      <c r="C162" s="46" t="s">
        <v>45</v>
      </c>
      <c r="D162" s="49">
        <f t="shared" si="29"/>
        <v>5000000</v>
      </c>
      <c r="E162" s="26"/>
      <c r="F162" s="49">
        <f t="shared" si="30"/>
        <v>5000000</v>
      </c>
      <c r="G162" s="49">
        <v>5000000</v>
      </c>
      <c r="H162" s="49">
        <f>1460000+1581342.49+19096.08+236835.62</f>
        <v>3297274.1900000004</v>
      </c>
      <c r="I162" s="43">
        <f>H162/G162*100</f>
        <v>65.9454838</v>
      </c>
      <c r="J162" s="72">
        <f t="shared" si="27"/>
        <v>78.73974796779032</v>
      </c>
      <c r="L162" s="65">
        <f t="shared" si="28"/>
        <v>-890285.8099999996</v>
      </c>
      <c r="M162" s="71"/>
      <c r="N162" s="71"/>
      <c r="O162" s="71"/>
      <c r="P162" s="71">
        <f>1460000+1585125</f>
        <v>3045125</v>
      </c>
      <c r="Q162" s="71"/>
      <c r="R162" s="71"/>
      <c r="S162" s="71">
        <f>2500000-1460000-12000-69000</f>
        <v>959000</v>
      </c>
      <c r="T162" s="71">
        <v>12000</v>
      </c>
      <c r="U162" s="71">
        <f>114435+57000</f>
        <v>171435</v>
      </c>
      <c r="V162" s="71"/>
      <c r="W162" s="71">
        <f>2385565-1585125+12000</f>
        <v>812440</v>
      </c>
      <c r="X162" s="71"/>
      <c r="Y162" s="22">
        <f t="shared" si="31"/>
        <v>5000000</v>
      </c>
      <c r="Z162" s="68">
        <f t="shared" si="32"/>
        <v>0</v>
      </c>
    </row>
    <row r="163" spans="1:26" ht="22.5" customHeight="1">
      <c r="A163" s="1"/>
      <c r="B163" s="20"/>
      <c r="C163" s="46" t="s">
        <v>46</v>
      </c>
      <c r="D163" s="49">
        <f t="shared" si="29"/>
        <v>500000</v>
      </c>
      <c r="E163" s="26"/>
      <c r="F163" s="49">
        <f t="shared" si="30"/>
        <v>500000</v>
      </c>
      <c r="G163" s="49">
        <v>500000</v>
      </c>
      <c r="H163" s="49">
        <f>14391.08</f>
        <v>14391.08</v>
      </c>
      <c r="I163" s="43">
        <f>H163/G163*100</f>
        <v>2.878216</v>
      </c>
      <c r="J163" s="72">
        <f t="shared" si="27"/>
        <v>2.878216</v>
      </c>
      <c r="L163" s="65">
        <f t="shared" si="28"/>
        <v>-485608.92</v>
      </c>
      <c r="M163" s="71"/>
      <c r="N163" s="71"/>
      <c r="O163" s="71">
        <f>14500</f>
        <v>14500</v>
      </c>
      <c r="P163" s="71"/>
      <c r="Q163" s="71"/>
      <c r="R163" s="71"/>
      <c r="S163" s="71"/>
      <c r="T163" s="71">
        <f>500000-14500</f>
        <v>485500</v>
      </c>
      <c r="U163" s="71"/>
      <c r="V163" s="71"/>
      <c r="W163" s="71"/>
      <c r="X163" s="71"/>
      <c r="Y163" s="22">
        <f t="shared" si="31"/>
        <v>500000</v>
      </c>
      <c r="Z163" s="68">
        <f t="shared" si="32"/>
        <v>0</v>
      </c>
    </row>
    <row r="164" spans="1:26" ht="26.25" customHeight="1">
      <c r="A164" s="1"/>
      <c r="B164" s="20"/>
      <c r="C164" s="46" t="s">
        <v>47</v>
      </c>
      <c r="D164" s="49">
        <f t="shared" si="29"/>
        <v>1000000</v>
      </c>
      <c r="E164" s="26"/>
      <c r="F164" s="49">
        <f t="shared" si="30"/>
        <v>1000000</v>
      </c>
      <c r="G164" s="49">
        <v>1000000</v>
      </c>
      <c r="H164" s="49">
        <f>488928</f>
        <v>488928</v>
      </c>
      <c r="I164" s="43">
        <f>H164/G164*100</f>
        <v>48.892799999999994</v>
      </c>
      <c r="J164" s="72">
        <f t="shared" si="27"/>
        <v>48.892799999999994</v>
      </c>
      <c r="L164" s="65">
        <f t="shared" si="28"/>
        <v>-511072</v>
      </c>
      <c r="M164" s="71"/>
      <c r="N164" s="71"/>
      <c r="O164" s="71"/>
      <c r="P164" s="71"/>
      <c r="Q164" s="71">
        <v>500000</v>
      </c>
      <c r="R164" s="71">
        <f>-500000</f>
        <v>-500000</v>
      </c>
      <c r="S164" s="71">
        <f>500000</f>
        <v>500000</v>
      </c>
      <c r="T164" s="71">
        <v>500000</v>
      </c>
      <c r="U164" s="71"/>
      <c r="V164" s="71"/>
      <c r="W164" s="71"/>
      <c r="X164" s="71"/>
      <c r="Y164" s="22">
        <f t="shared" si="31"/>
        <v>1000000</v>
      </c>
      <c r="Z164" s="68">
        <f t="shared" si="32"/>
        <v>0</v>
      </c>
    </row>
    <row r="165" spans="1:26" ht="27.75" customHeight="1">
      <c r="A165" s="1"/>
      <c r="B165" s="20"/>
      <c r="C165" s="46" t="s">
        <v>48</v>
      </c>
      <c r="D165" s="49">
        <f t="shared" si="29"/>
        <v>1310000</v>
      </c>
      <c r="E165" s="26"/>
      <c r="F165" s="49">
        <f t="shared" si="30"/>
        <v>1310000</v>
      </c>
      <c r="G165" s="49">
        <f>1810000-500000</f>
        <v>1310000</v>
      </c>
      <c r="H165" s="49">
        <f>49000</f>
        <v>49000</v>
      </c>
      <c r="I165" s="43">
        <f>H165/G165*100</f>
        <v>3.740458015267176</v>
      </c>
      <c r="J165" s="72">
        <f t="shared" si="27"/>
        <v>49</v>
      </c>
      <c r="L165" s="65">
        <f t="shared" si="28"/>
        <v>-51000</v>
      </c>
      <c r="M165" s="71"/>
      <c r="N165" s="71"/>
      <c r="O165" s="71"/>
      <c r="P165" s="71"/>
      <c r="Q165" s="71"/>
      <c r="R165" s="71"/>
      <c r="S165" s="71"/>
      <c r="T165" s="49">
        <v>100000</v>
      </c>
      <c r="U165" s="49"/>
      <c r="V165" s="49"/>
      <c r="W165" s="49">
        <f>855000-500000</f>
        <v>355000</v>
      </c>
      <c r="X165" s="49">
        <v>855000</v>
      </c>
      <c r="Y165" s="22">
        <f t="shared" si="31"/>
        <v>1310000</v>
      </c>
      <c r="Z165" s="68">
        <f t="shared" si="32"/>
        <v>0</v>
      </c>
    </row>
    <row r="166" spans="1:26" ht="27.75" customHeight="1">
      <c r="A166" s="1"/>
      <c r="B166" s="20"/>
      <c r="C166" s="46" t="s">
        <v>49</v>
      </c>
      <c r="D166" s="49">
        <f t="shared" si="29"/>
        <v>44500000</v>
      </c>
      <c r="E166" s="26"/>
      <c r="F166" s="49">
        <f t="shared" si="30"/>
        <v>44500000</v>
      </c>
      <c r="G166" s="49">
        <f>27000000+1993500+8006500+5500000+2000000</f>
        <v>44500000</v>
      </c>
      <c r="H166" s="49">
        <f>16806225.23+2399840.4+1688728.36+6065043.03+84921.28+363713.37+127842.4+1161813.97+2000000</f>
        <v>30698128.04</v>
      </c>
      <c r="I166" s="43">
        <f>H166/G166*100</f>
        <v>68.98455739325843</v>
      </c>
      <c r="J166" s="72">
        <f t="shared" si="27"/>
        <v>88.1028830054386</v>
      </c>
      <c r="L166" s="65">
        <f t="shared" si="28"/>
        <v>-4145371.960000001</v>
      </c>
      <c r="M166" s="49"/>
      <c r="N166" s="49"/>
      <c r="O166" s="49">
        <f>13500000-17000</f>
        <v>13483000</v>
      </c>
      <c r="P166" s="49">
        <f>700000+3000000+2700000+8006500</f>
        <v>14406500</v>
      </c>
      <c r="Q166" s="49">
        <f>-468000-3152000+2700000</f>
        <v>-920000</v>
      </c>
      <c r="R166" s="49"/>
      <c r="S166" s="49">
        <f>6750000-700000-3000000-2700000+205000+12000</f>
        <v>567000</v>
      </c>
      <c r="T166" s="49">
        <f>6750000+17000+3152000-2700000-12000</f>
        <v>7207000</v>
      </c>
      <c r="U166" s="49">
        <f>100000</f>
        <v>100000</v>
      </c>
      <c r="V166" s="49">
        <f>1833500+100000</f>
        <v>1933500</v>
      </c>
      <c r="W166" s="49">
        <f>163000+2700000</f>
        <v>2863000</v>
      </c>
      <c r="X166" s="49">
        <f>160000+2700000+2000000</f>
        <v>4860000</v>
      </c>
      <c r="Y166" s="22">
        <f t="shared" si="31"/>
        <v>44500000</v>
      </c>
      <c r="Z166" s="68">
        <f>Y166-D166</f>
        <v>0</v>
      </c>
    </row>
    <row r="167" spans="1:26" ht="24.75" customHeight="1">
      <c r="A167" s="1"/>
      <c r="B167" s="20"/>
      <c r="C167" s="46" t="s">
        <v>146</v>
      </c>
      <c r="D167" s="49">
        <f t="shared" si="29"/>
        <v>1500000</v>
      </c>
      <c r="E167" s="26"/>
      <c r="F167" s="49">
        <f t="shared" si="30"/>
        <v>1500000</v>
      </c>
      <c r="G167" s="49">
        <v>1500000</v>
      </c>
      <c r="H167" s="49"/>
      <c r="I167" s="43"/>
      <c r="J167" s="72">
        <f t="shared" si="27"/>
        <v>0</v>
      </c>
      <c r="L167" s="65">
        <f t="shared" si="28"/>
        <v>-900000</v>
      </c>
      <c r="M167" s="71"/>
      <c r="N167" s="71"/>
      <c r="O167" s="71"/>
      <c r="P167" s="71"/>
      <c r="Q167" s="71">
        <v>300000</v>
      </c>
      <c r="R167" s="71"/>
      <c r="S167" s="71"/>
      <c r="T167" s="71"/>
      <c r="U167" s="71">
        <v>600000</v>
      </c>
      <c r="V167" s="71">
        <v>600000</v>
      </c>
      <c r="W167" s="71"/>
      <c r="X167" s="71"/>
      <c r="Y167" s="22">
        <f t="shared" si="31"/>
        <v>1500000</v>
      </c>
      <c r="Z167" s="68">
        <f t="shared" si="32"/>
        <v>0</v>
      </c>
    </row>
    <row r="168" spans="1:26" ht="45" customHeight="1">
      <c r="A168" s="1"/>
      <c r="B168" s="20"/>
      <c r="C168" s="47" t="s">
        <v>50</v>
      </c>
      <c r="D168" s="49">
        <f t="shared" si="29"/>
        <v>3200000</v>
      </c>
      <c r="E168" s="26"/>
      <c r="F168" s="49">
        <f t="shared" si="30"/>
        <v>3200000</v>
      </c>
      <c r="G168" s="50">
        <v>3200000</v>
      </c>
      <c r="H168" s="49">
        <f>1303449+951.6+16375.42+15203.4</f>
        <v>1335979.42</v>
      </c>
      <c r="I168" s="43">
        <f>H168/G168*100</f>
        <v>41.749356875</v>
      </c>
      <c r="J168" s="72">
        <f t="shared" si="27"/>
        <v>41.749356875</v>
      </c>
      <c r="L168" s="65">
        <f t="shared" si="28"/>
        <v>-1864020.58</v>
      </c>
      <c r="M168" s="71"/>
      <c r="N168" s="71">
        <v>1600000</v>
      </c>
      <c r="O168" s="71">
        <f>1600000-700000</f>
        <v>900000</v>
      </c>
      <c r="P168" s="71"/>
      <c r="Q168" s="71">
        <f>-1100000</f>
        <v>-1100000</v>
      </c>
      <c r="R168" s="71"/>
      <c r="S168" s="71">
        <f>700000</f>
        <v>700000</v>
      </c>
      <c r="T168" s="71">
        <f>1100000</f>
        <v>1100000</v>
      </c>
      <c r="U168" s="71"/>
      <c r="V168" s="71"/>
      <c r="W168" s="71"/>
      <c r="X168" s="71"/>
      <c r="Y168" s="22">
        <f t="shared" si="31"/>
        <v>3200000</v>
      </c>
      <c r="Z168" s="68">
        <f t="shared" si="32"/>
        <v>0</v>
      </c>
    </row>
    <row r="169" spans="1:26" ht="45" customHeight="1">
      <c r="A169" s="1"/>
      <c r="B169" s="20"/>
      <c r="C169" s="46" t="s">
        <v>51</v>
      </c>
      <c r="D169" s="49">
        <f t="shared" si="29"/>
        <v>147000</v>
      </c>
      <c r="E169" s="26"/>
      <c r="F169" s="49">
        <f t="shared" si="30"/>
        <v>147000</v>
      </c>
      <c r="G169" s="49">
        <v>147000</v>
      </c>
      <c r="H169" s="24"/>
      <c r="I169" s="41"/>
      <c r="J169" s="72" t="e">
        <f t="shared" si="27"/>
        <v>#DIV/0!</v>
      </c>
      <c r="L169" s="65">
        <f t="shared" si="28"/>
        <v>0</v>
      </c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>
        <v>147000</v>
      </c>
      <c r="X169" s="71"/>
      <c r="Y169" s="22">
        <f t="shared" si="31"/>
        <v>147000</v>
      </c>
      <c r="Z169" s="68">
        <f t="shared" si="32"/>
        <v>0</v>
      </c>
    </row>
    <row r="170" spans="1:26" ht="45" customHeight="1">
      <c r="A170" s="1"/>
      <c r="B170" s="20"/>
      <c r="C170" s="46" t="s">
        <v>52</v>
      </c>
      <c r="D170" s="49">
        <f t="shared" si="29"/>
        <v>1036000</v>
      </c>
      <c r="E170" s="26"/>
      <c r="F170" s="49">
        <f t="shared" si="30"/>
        <v>1036000</v>
      </c>
      <c r="G170" s="49">
        <v>1036000</v>
      </c>
      <c r="H170" s="24"/>
      <c r="I170" s="41"/>
      <c r="J170" s="72" t="e">
        <f t="shared" si="27"/>
        <v>#DIV/0!</v>
      </c>
      <c r="L170" s="65">
        <f t="shared" si="28"/>
        <v>0</v>
      </c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>
        <v>1036000</v>
      </c>
      <c r="X170" s="71"/>
      <c r="Y170" s="22">
        <f t="shared" si="31"/>
        <v>1036000</v>
      </c>
      <c r="Z170" s="68">
        <f t="shared" si="32"/>
        <v>0</v>
      </c>
    </row>
    <row r="171" spans="1:26" ht="45" customHeight="1">
      <c r="A171" s="1"/>
      <c r="B171" s="20"/>
      <c r="C171" s="46" t="s">
        <v>53</v>
      </c>
      <c r="D171" s="49">
        <f t="shared" si="29"/>
        <v>137000</v>
      </c>
      <c r="E171" s="26"/>
      <c r="F171" s="49">
        <f t="shared" si="30"/>
        <v>137000</v>
      </c>
      <c r="G171" s="49">
        <v>137000</v>
      </c>
      <c r="H171" s="24"/>
      <c r="I171" s="41"/>
      <c r="J171" s="72" t="e">
        <f t="shared" si="27"/>
        <v>#DIV/0!</v>
      </c>
      <c r="L171" s="65">
        <f t="shared" si="28"/>
        <v>0</v>
      </c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>
        <v>137000</v>
      </c>
      <c r="X171" s="71"/>
      <c r="Y171" s="22">
        <f t="shared" si="31"/>
        <v>137000</v>
      </c>
      <c r="Z171" s="68">
        <f t="shared" si="32"/>
        <v>0</v>
      </c>
    </row>
    <row r="172" spans="1:26" ht="45" customHeight="1">
      <c r="A172" s="1"/>
      <c r="B172" s="20"/>
      <c r="C172" s="46" t="s">
        <v>54</v>
      </c>
      <c r="D172" s="49">
        <f t="shared" si="29"/>
        <v>254000</v>
      </c>
      <c r="E172" s="26"/>
      <c r="F172" s="49">
        <f t="shared" si="30"/>
        <v>254000</v>
      </c>
      <c r="G172" s="49">
        <v>254000</v>
      </c>
      <c r="H172" s="24"/>
      <c r="I172" s="41"/>
      <c r="J172" s="72" t="e">
        <f t="shared" si="27"/>
        <v>#DIV/0!</v>
      </c>
      <c r="L172" s="65">
        <f t="shared" si="28"/>
        <v>0</v>
      </c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>
        <v>254000</v>
      </c>
      <c r="X172" s="71"/>
      <c r="Y172" s="22">
        <f t="shared" si="31"/>
        <v>254000</v>
      </c>
      <c r="Z172" s="68">
        <f t="shared" si="32"/>
        <v>0</v>
      </c>
    </row>
    <row r="173" spans="1:26" ht="45" customHeight="1">
      <c r="A173" s="1"/>
      <c r="B173" s="20"/>
      <c r="C173" s="46" t="s">
        <v>55</v>
      </c>
      <c r="D173" s="49">
        <f t="shared" si="29"/>
        <v>400000</v>
      </c>
      <c r="E173" s="26"/>
      <c r="F173" s="49">
        <f t="shared" si="30"/>
        <v>400000</v>
      </c>
      <c r="G173" s="49">
        <v>400000</v>
      </c>
      <c r="H173" s="24"/>
      <c r="I173" s="41"/>
      <c r="J173" s="72" t="e">
        <f t="shared" si="27"/>
        <v>#DIV/0!</v>
      </c>
      <c r="L173" s="65">
        <f t="shared" si="28"/>
        <v>0</v>
      </c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>
        <v>400000</v>
      </c>
      <c r="X173" s="71"/>
      <c r="Y173" s="22">
        <f t="shared" si="31"/>
        <v>400000</v>
      </c>
      <c r="Z173" s="68">
        <f t="shared" si="32"/>
        <v>0</v>
      </c>
    </row>
    <row r="174" spans="1:26" ht="45" customHeight="1">
      <c r="A174" s="1"/>
      <c r="B174" s="20"/>
      <c r="C174" s="48" t="s">
        <v>56</v>
      </c>
      <c r="D174" s="49">
        <f t="shared" si="29"/>
        <v>248000</v>
      </c>
      <c r="E174" s="26"/>
      <c r="F174" s="49">
        <f t="shared" si="30"/>
        <v>248000</v>
      </c>
      <c r="G174" s="51">
        <v>248000</v>
      </c>
      <c r="H174" s="24"/>
      <c r="I174" s="41"/>
      <c r="J174" s="72" t="e">
        <f t="shared" si="27"/>
        <v>#DIV/0!</v>
      </c>
      <c r="L174" s="65">
        <f t="shared" si="28"/>
        <v>0</v>
      </c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>
        <v>248000</v>
      </c>
      <c r="X174" s="71"/>
      <c r="Y174" s="22">
        <f t="shared" si="31"/>
        <v>248000</v>
      </c>
      <c r="Z174" s="68">
        <f t="shared" si="32"/>
        <v>0</v>
      </c>
    </row>
    <row r="175" spans="1:26" ht="45" customHeight="1">
      <c r="A175" s="1"/>
      <c r="B175" s="20"/>
      <c r="C175" s="46" t="s">
        <v>57</v>
      </c>
      <c r="D175" s="49">
        <f t="shared" si="29"/>
        <v>3300000</v>
      </c>
      <c r="E175" s="26"/>
      <c r="F175" s="49">
        <f t="shared" si="30"/>
        <v>3300000</v>
      </c>
      <c r="G175" s="49">
        <v>3300000</v>
      </c>
      <c r="H175" s="50">
        <f>2455.85+748029.6</f>
        <v>750485.45</v>
      </c>
      <c r="I175" s="43">
        <f>H175/G175*100</f>
        <v>22.741983333333334</v>
      </c>
      <c r="J175" s="72">
        <f t="shared" si="27"/>
        <v>22.741983333333334</v>
      </c>
      <c r="L175" s="65">
        <f t="shared" si="28"/>
        <v>-2549514.55</v>
      </c>
      <c r="M175" s="71"/>
      <c r="N175" s="71"/>
      <c r="O175" s="71">
        <f>2500</f>
        <v>2500</v>
      </c>
      <c r="P175" s="71"/>
      <c r="Q175" s="71">
        <f>1000000-200000</f>
        <v>800000</v>
      </c>
      <c r="R175" s="71"/>
      <c r="S175" s="71"/>
      <c r="T175" s="71">
        <f>2300000-2500+200000</f>
        <v>2497500</v>
      </c>
      <c r="U175" s="71"/>
      <c r="V175" s="71"/>
      <c r="W175" s="71"/>
      <c r="X175" s="71"/>
      <c r="Y175" s="22">
        <f t="shared" si="31"/>
        <v>3300000</v>
      </c>
      <c r="Z175" s="68">
        <f t="shared" si="32"/>
        <v>0</v>
      </c>
    </row>
    <row r="176" spans="1:26" ht="45" customHeight="1">
      <c r="A176" s="1"/>
      <c r="B176" s="20"/>
      <c r="C176" s="46" t="s">
        <v>58</v>
      </c>
      <c r="D176" s="49">
        <f t="shared" si="29"/>
        <v>12120000</v>
      </c>
      <c r="E176" s="26"/>
      <c r="F176" s="49">
        <f t="shared" si="30"/>
        <v>12120000</v>
      </c>
      <c r="G176" s="49">
        <v>12120000</v>
      </c>
      <c r="H176" s="50">
        <f>37910.17+6413+179414.38+90180+31078.8+86406+38662+4080211.2</f>
        <v>4550275.55</v>
      </c>
      <c r="I176" s="43">
        <f>H176/G176*100</f>
        <v>37.543527640264024</v>
      </c>
      <c r="J176" s="72">
        <f t="shared" si="27"/>
        <v>50.554123522353564</v>
      </c>
      <c r="L176" s="65">
        <f t="shared" si="28"/>
        <v>-4450524.45</v>
      </c>
      <c r="M176" s="71"/>
      <c r="N176" s="71"/>
      <c r="O176" s="71"/>
      <c r="P176" s="71">
        <f>3300000-1460000-1710000</f>
        <v>130000</v>
      </c>
      <c r="Q176" s="71">
        <f>1329200-1400000</f>
        <v>-70800</v>
      </c>
      <c r="R176" s="71">
        <f>2379528.46-2300000+86000</f>
        <v>165528.45999999996</v>
      </c>
      <c r="S176" s="71">
        <f>330800+1460000+1710000+2300000-86000</f>
        <v>5714800</v>
      </c>
      <c r="T176" s="71">
        <f>1991271.54+1400000</f>
        <v>3391271.54</v>
      </c>
      <c r="U176" s="71">
        <v>-330000</v>
      </c>
      <c r="V176" s="71">
        <f>2789200+330000</f>
        <v>3119200</v>
      </c>
      <c r="W176" s="71"/>
      <c r="X176" s="71"/>
      <c r="Y176" s="22">
        <f t="shared" si="31"/>
        <v>12120000</v>
      </c>
      <c r="Z176" s="68">
        <f t="shared" si="32"/>
        <v>0</v>
      </c>
    </row>
    <row r="177" spans="1:26" ht="45" customHeight="1">
      <c r="A177" s="1"/>
      <c r="B177" s="20"/>
      <c r="C177" s="46" t="s">
        <v>59</v>
      </c>
      <c r="D177" s="49">
        <f t="shared" si="29"/>
        <v>21500000</v>
      </c>
      <c r="E177" s="26"/>
      <c r="F177" s="49">
        <f t="shared" si="30"/>
        <v>21500000</v>
      </c>
      <c r="G177" s="49">
        <f>18000000+3500000</f>
        <v>21500000</v>
      </c>
      <c r="H177" s="50">
        <f>4351772.44+7541+3400000+581526.71+692783.83+51856.29-69412.37+3809977.2</f>
        <v>12826045.100000001</v>
      </c>
      <c r="I177" s="43">
        <f>H177/G177*100</f>
        <v>59.65602372093024</v>
      </c>
      <c r="J177" s="72">
        <f t="shared" si="27"/>
        <v>99.96917459080282</v>
      </c>
      <c r="L177" s="65">
        <f t="shared" si="28"/>
        <v>-3954.89999999851</v>
      </c>
      <c r="M177" s="49"/>
      <c r="N177" s="49"/>
      <c r="O177" s="49">
        <v>5644871.54</v>
      </c>
      <c r="P177" s="49">
        <f>-3000000+1710000</f>
        <v>-1290000</v>
      </c>
      <c r="Q177" s="49">
        <f>5000+3400000</f>
        <v>3405000</v>
      </c>
      <c r="R177" s="49">
        <f>582000</f>
        <v>582000</v>
      </c>
      <c r="S177" s="49">
        <f>3355128.46+3000000-1710000-5000-3400000-582000</f>
        <v>658128.46</v>
      </c>
      <c r="T177" s="49">
        <v>34000</v>
      </c>
      <c r="U177" s="49">
        <f>3500000-34000+330000</f>
        <v>3796000</v>
      </c>
      <c r="V177" s="49">
        <f>3000000-330000</f>
        <v>2670000</v>
      </c>
      <c r="W177" s="49">
        <v>3000000</v>
      </c>
      <c r="X177" s="49">
        <v>3000000</v>
      </c>
      <c r="Y177" s="22">
        <f t="shared" si="31"/>
        <v>21500000</v>
      </c>
      <c r="Z177" s="68">
        <f t="shared" si="32"/>
        <v>0</v>
      </c>
    </row>
    <row r="178" spans="1:26" ht="45" customHeight="1">
      <c r="A178" s="1"/>
      <c r="B178" s="20"/>
      <c r="C178" s="46" t="s">
        <v>60</v>
      </c>
      <c r="D178" s="49">
        <f t="shared" si="29"/>
        <v>13000000</v>
      </c>
      <c r="E178" s="26"/>
      <c r="F178" s="49">
        <f t="shared" si="30"/>
        <v>13000000</v>
      </c>
      <c r="G178" s="49">
        <f>8000000+5000000</f>
        <v>13000000</v>
      </c>
      <c r="H178" s="50">
        <f>3875000+140381+44901.72+60713.69</f>
        <v>4120996.41</v>
      </c>
      <c r="I178" s="43">
        <f>H178/G178*100</f>
        <v>31.69997238461539</v>
      </c>
      <c r="J178" s="72">
        <f t="shared" si="27"/>
        <v>99.51693817918378</v>
      </c>
      <c r="L178" s="65">
        <f t="shared" si="28"/>
        <v>-20003.58999999985</v>
      </c>
      <c r="M178" s="49"/>
      <c r="N178" s="49"/>
      <c r="O178" s="49">
        <v>3875000</v>
      </c>
      <c r="P178" s="49"/>
      <c r="Q178" s="49">
        <v>141000</v>
      </c>
      <c r="R178" s="49"/>
      <c r="S178" s="49">
        <f>2091666.54-2091666.54</f>
        <v>0</v>
      </c>
      <c r="T178" s="49">
        <f>1908333.46-1783333.46</f>
        <v>125000</v>
      </c>
      <c r="U178" s="49"/>
      <c r="V178" s="49"/>
      <c r="W178" s="49">
        <f>2000000-141000+5000000</f>
        <v>6859000</v>
      </c>
      <c r="X178" s="49">
        <v>2000000</v>
      </c>
      <c r="Y178" s="22">
        <f t="shared" si="31"/>
        <v>13000000</v>
      </c>
      <c r="Z178" s="68">
        <f t="shared" si="32"/>
        <v>0</v>
      </c>
    </row>
    <row r="179" spans="1:26" ht="45" customHeight="1">
      <c r="A179" s="1"/>
      <c r="B179" s="20"/>
      <c r="C179" s="46" t="s">
        <v>61</v>
      </c>
      <c r="D179" s="49">
        <f t="shared" si="29"/>
        <v>1000000</v>
      </c>
      <c r="E179" s="26"/>
      <c r="F179" s="49">
        <f t="shared" si="30"/>
        <v>1000000</v>
      </c>
      <c r="G179" s="49">
        <v>1000000</v>
      </c>
      <c r="H179" s="24">
        <f>98383</f>
        <v>98383</v>
      </c>
      <c r="I179" s="43">
        <f>H179/G179*100</f>
        <v>9.8383</v>
      </c>
      <c r="J179" s="72">
        <f t="shared" si="27"/>
        <v>98.383</v>
      </c>
      <c r="L179" s="65">
        <f t="shared" si="28"/>
        <v>-1617</v>
      </c>
      <c r="M179" s="71"/>
      <c r="N179" s="71"/>
      <c r="O179" s="71"/>
      <c r="P179" s="71"/>
      <c r="Q179" s="71">
        <v>100000</v>
      </c>
      <c r="R179" s="71"/>
      <c r="S179" s="71"/>
      <c r="T179" s="71"/>
      <c r="U179" s="71"/>
      <c r="V179" s="71">
        <v>400000</v>
      </c>
      <c r="W179" s="71"/>
      <c r="X179" s="71">
        <v>500000</v>
      </c>
      <c r="Y179" s="22">
        <f t="shared" si="31"/>
        <v>1000000</v>
      </c>
      <c r="Z179" s="68">
        <f t="shared" si="32"/>
        <v>0</v>
      </c>
    </row>
    <row r="180" spans="1:26" ht="24" customHeight="1">
      <c r="A180" s="1"/>
      <c r="B180" s="20"/>
      <c r="C180" s="48" t="s">
        <v>62</v>
      </c>
      <c r="D180" s="49">
        <f t="shared" si="29"/>
        <v>500000</v>
      </c>
      <c r="E180" s="26"/>
      <c r="F180" s="49">
        <f t="shared" si="30"/>
        <v>500000</v>
      </c>
      <c r="G180" s="51">
        <v>500000</v>
      </c>
      <c r="H180" s="24"/>
      <c r="I180" s="41"/>
      <c r="J180" s="72" t="e">
        <f t="shared" si="27"/>
        <v>#DIV/0!</v>
      </c>
      <c r="L180" s="65">
        <f t="shared" si="28"/>
        <v>0</v>
      </c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>
        <v>250000</v>
      </c>
      <c r="X180" s="71">
        <v>250000</v>
      </c>
      <c r="Y180" s="22">
        <f t="shared" si="31"/>
        <v>500000</v>
      </c>
      <c r="Z180" s="68">
        <f t="shared" si="32"/>
        <v>0</v>
      </c>
    </row>
    <row r="181" spans="1:26" ht="24.75" customHeight="1">
      <c r="A181" s="1"/>
      <c r="B181" s="20"/>
      <c r="C181" s="48" t="s">
        <v>63</v>
      </c>
      <c r="D181" s="49">
        <f t="shared" si="29"/>
        <v>1295000</v>
      </c>
      <c r="E181" s="26"/>
      <c r="F181" s="49">
        <f t="shared" si="30"/>
        <v>1295000</v>
      </c>
      <c r="G181" s="51">
        <f>5000000-500000-200000-3005000</f>
        <v>1295000</v>
      </c>
      <c r="H181" s="24"/>
      <c r="I181" s="41"/>
      <c r="J181" s="72">
        <f t="shared" si="27"/>
        <v>0</v>
      </c>
      <c r="L181" s="65">
        <f t="shared" si="28"/>
        <v>-100000</v>
      </c>
      <c r="M181" s="71"/>
      <c r="N181" s="71"/>
      <c r="O181" s="71"/>
      <c r="P181" s="71"/>
      <c r="Q181" s="71"/>
      <c r="R181" s="71"/>
      <c r="S181" s="71">
        <f>100000</f>
        <v>100000</v>
      </c>
      <c r="T181" s="71"/>
      <c r="U181" s="71"/>
      <c r="V181" s="71"/>
      <c r="W181" s="71"/>
      <c r="X181" s="71">
        <f>1195000</f>
        <v>1195000</v>
      </c>
      <c r="Y181" s="22">
        <f t="shared" si="31"/>
        <v>1295000</v>
      </c>
      <c r="Z181" s="68">
        <f t="shared" si="32"/>
        <v>0</v>
      </c>
    </row>
    <row r="182" spans="1:26" ht="18.75">
      <c r="A182" s="28"/>
      <c r="B182" s="17"/>
      <c r="C182" s="29" t="s">
        <v>6</v>
      </c>
      <c r="D182" s="19">
        <f>D9+D147</f>
        <v>298676617.36</v>
      </c>
      <c r="E182" s="19">
        <f>E9+E147</f>
        <v>58097328.89</v>
      </c>
      <c r="F182" s="19">
        <f>F9+F147</f>
        <v>240579288.47</v>
      </c>
      <c r="G182" s="19">
        <f>G9+G147</f>
        <v>240579288.47</v>
      </c>
      <c r="H182" s="19">
        <f>H9+H147</f>
        <v>150843169.12</v>
      </c>
      <c r="I182" s="38">
        <f>H182/D182*100</f>
        <v>50.503842735766014</v>
      </c>
      <c r="J182" s="81">
        <f>H182/(N182+O182+P182+Q182+R182+S182+T182+U182)*100</f>
        <v>77.05647165356856</v>
      </c>
      <c r="L182" s="65">
        <f t="shared" si="28"/>
        <v>-50414282.95999998</v>
      </c>
      <c r="M182" s="71">
        <f>M9+M147</f>
        <v>5500800</v>
      </c>
      <c r="N182" s="71">
        <f aca="true" t="shared" si="33" ref="N182:X182">N9+N26+N147</f>
        <v>7474745</v>
      </c>
      <c r="O182" s="71">
        <f t="shared" si="33"/>
        <v>53795455.42</v>
      </c>
      <c r="P182" s="71">
        <f t="shared" si="33"/>
        <v>21619022</v>
      </c>
      <c r="Q182" s="71">
        <f t="shared" si="33"/>
        <v>15812043</v>
      </c>
      <c r="R182" s="71">
        <f t="shared" si="33"/>
        <v>11312906.419999998</v>
      </c>
      <c r="S182" s="71">
        <f t="shared" si="33"/>
        <v>26779125.97</v>
      </c>
      <c r="T182" s="71">
        <f t="shared" si="33"/>
        <v>38469787.04</v>
      </c>
      <c r="U182" s="71">
        <f t="shared" si="33"/>
        <v>20493567.23</v>
      </c>
      <c r="V182" s="71">
        <f t="shared" si="33"/>
        <v>29045132.58</v>
      </c>
      <c r="W182" s="71">
        <f t="shared" si="33"/>
        <v>35701624.79</v>
      </c>
      <c r="X182" s="71">
        <f t="shared" si="33"/>
        <v>32672408.12</v>
      </c>
      <c r="Y182" s="22">
        <f>SUM(M182:X182)</f>
        <v>298676617.56999993</v>
      </c>
      <c r="Z182" s="68">
        <f>Y182-D182</f>
        <v>0.2099999189376831</v>
      </c>
    </row>
    <row r="183" spans="1:12" ht="18.75">
      <c r="A183" s="33"/>
      <c r="B183" s="34"/>
      <c r="C183" s="35"/>
      <c r="D183" s="36"/>
      <c r="E183" s="36"/>
      <c r="F183" s="36"/>
      <c r="G183" s="36"/>
      <c r="L183" s="30"/>
    </row>
    <row r="184" spans="1:6" ht="18.75">
      <c r="A184" s="2"/>
      <c r="B184" s="30"/>
      <c r="C184" s="31"/>
      <c r="D184" s="3"/>
      <c r="E184" s="30"/>
      <c r="F184" s="30"/>
    </row>
  </sheetData>
  <sheetProtection/>
  <mergeCells count="28">
    <mergeCell ref="I5:I6"/>
    <mergeCell ref="A2:G2"/>
    <mergeCell ref="A3:G3"/>
    <mergeCell ref="A5:A6"/>
    <mergeCell ref="C5:C6"/>
    <mergeCell ref="D5:D6"/>
    <mergeCell ref="E5:E6"/>
    <mergeCell ref="F5:F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A146:J146"/>
    <mergeCell ref="J11:J17"/>
    <mergeCell ref="J18:J25"/>
    <mergeCell ref="W6:W7"/>
    <mergeCell ref="R6:R7"/>
    <mergeCell ref="J5:J6"/>
    <mergeCell ref="L6:L7"/>
    <mergeCell ref="M6:M7"/>
    <mergeCell ref="N6:N7"/>
    <mergeCell ref="H5:H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2017-09-11T13:54:27Z</dcterms:modified>
  <cp:category/>
  <cp:version/>
  <cp:contentType/>
  <cp:contentStatus/>
</cp:coreProperties>
</file>